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выполнение объема услуг" sheetId="1" r:id="rId1"/>
    <sheet name="расчет ум субс" sheetId="2" r:id="rId2"/>
  </sheets>
  <externalReferences>
    <externalReference r:id="rId3"/>
    <externalReference r:id="rId4"/>
  </externalReferences>
  <definedNames>
    <definedName name="_xlnm.Print_Area" localSheetId="0">'выполнение объема услуг'!$A$1:$I$104</definedName>
    <definedName name="_xlnm.Print_Area" localSheetId="1">'расчет ум субс'!$A$1:$T$51</definedName>
  </definedNames>
  <calcPr calcId="145621"/>
</workbook>
</file>

<file path=xl/calcChain.xml><?xml version="1.0" encoding="utf-8"?>
<calcChain xmlns="http://schemas.openxmlformats.org/spreadsheetml/2006/main">
  <c r="M33" i="2" l="1"/>
  <c r="M32" i="2"/>
  <c r="M30" i="2"/>
  <c r="M29" i="2"/>
  <c r="M28" i="2"/>
  <c r="M16" i="2"/>
  <c r="N30" i="2"/>
  <c r="N22" i="2"/>
  <c r="N14" i="2" l="1"/>
  <c r="G113" i="1" l="1"/>
  <c r="W32" i="2" l="1"/>
  <c r="F70" i="1"/>
  <c r="F67" i="1"/>
  <c r="D30" i="2" l="1"/>
  <c r="H27" i="2"/>
  <c r="F69" i="1" l="1"/>
  <c r="H86" i="1"/>
  <c r="H83" i="1"/>
  <c r="H14" i="2"/>
  <c r="M17" i="2" l="1"/>
  <c r="M24" i="2"/>
  <c r="M25" i="2" l="1"/>
  <c r="M13" i="2"/>
  <c r="M21" i="2"/>
  <c r="M12" i="2"/>
  <c r="M20" i="2" l="1"/>
  <c r="M22" i="2"/>
  <c r="M14" i="2" l="1"/>
  <c r="U10" i="2" l="1"/>
  <c r="I113" i="1"/>
  <c r="H113" i="1"/>
  <c r="F113" i="1"/>
  <c r="J29" i="1" l="1"/>
  <c r="G54" i="1"/>
  <c r="I54" i="1" s="1"/>
  <c r="K56" i="1"/>
  <c r="K52" i="1"/>
  <c r="K48" i="1"/>
  <c r="G50" i="1"/>
  <c r="I50" i="1" s="1"/>
  <c r="G45" i="1"/>
  <c r="I55" i="1" l="1"/>
  <c r="I53" i="1"/>
  <c r="I52" i="1"/>
  <c r="I49" i="1"/>
  <c r="I47" i="1"/>
  <c r="I43" i="1"/>
  <c r="I40" i="1"/>
  <c r="I35" i="1"/>
  <c r="I34" i="1"/>
  <c r="I11" i="1"/>
  <c r="I12" i="1"/>
  <c r="I13" i="1"/>
  <c r="I16" i="1"/>
  <c r="I17" i="1"/>
  <c r="I19" i="1"/>
  <c r="I31" i="1"/>
  <c r="I29" i="1"/>
  <c r="I28" i="1"/>
  <c r="I25" i="1"/>
  <c r="I24" i="1"/>
  <c r="I23" i="1"/>
  <c r="G30" i="1"/>
  <c r="H30" i="1" s="1"/>
  <c r="I30" i="1" s="1"/>
  <c r="G26" i="1"/>
  <c r="H26" i="1" s="1"/>
  <c r="I26" i="1" s="1"/>
  <c r="G21" i="1"/>
  <c r="H21" i="1" s="1"/>
  <c r="I21" i="1" s="1"/>
  <c r="G33" i="1"/>
  <c r="I33" i="1" s="1"/>
  <c r="G38" i="1"/>
  <c r="I38" i="1" s="1"/>
  <c r="G42" i="1"/>
  <c r="I42" i="1" s="1"/>
  <c r="F20" i="1"/>
  <c r="H18" i="1"/>
  <c r="G14" i="1"/>
  <c r="J18" i="1"/>
  <c r="J9" i="1"/>
  <c r="G18" i="1"/>
  <c r="I18" i="1" l="1"/>
  <c r="I14" i="1"/>
  <c r="H14" i="1"/>
  <c r="I45" i="1"/>
  <c r="G9" i="1"/>
  <c r="J10" i="1" s="1"/>
  <c r="J28" i="2" l="1"/>
  <c r="H10" i="1"/>
  <c r="H15" i="1"/>
  <c r="I15" i="1" s="1"/>
  <c r="H22" i="1"/>
  <c r="H27" i="1"/>
  <c r="I27" i="1" s="1"/>
  <c r="H39" i="1"/>
  <c r="I39" i="1" s="1"/>
  <c r="H46" i="1"/>
  <c r="H51" i="1"/>
  <c r="I51" i="1" s="1"/>
  <c r="H70" i="1"/>
  <c r="H74" i="1"/>
  <c r="H73" i="1"/>
  <c r="H78" i="1"/>
  <c r="H104" i="1"/>
  <c r="H103" i="1"/>
  <c r="H94" i="1"/>
  <c r="H93" i="1"/>
  <c r="H92" i="1"/>
  <c r="H91" i="1"/>
  <c r="H90" i="1"/>
  <c r="H82" i="1"/>
  <c r="H81" i="1"/>
  <c r="H31" i="2"/>
  <c r="E24" i="2"/>
  <c r="E25" i="2"/>
  <c r="E20" i="2"/>
  <c r="E21" i="2"/>
  <c r="E22" i="2"/>
  <c r="H23" i="2"/>
  <c r="H19" i="2"/>
  <c r="H15" i="2"/>
  <c r="H11" i="2"/>
  <c r="J11" i="2"/>
  <c r="J13" i="2"/>
  <c r="J15" i="2"/>
  <c r="J22" i="2"/>
  <c r="J21" i="2"/>
  <c r="J20" i="2"/>
  <c r="J25" i="2"/>
  <c r="J24" i="2"/>
  <c r="J30" i="2"/>
  <c r="J29" i="2"/>
  <c r="J41" i="2"/>
  <c r="J40" i="2"/>
  <c r="J39" i="2"/>
  <c r="J38" i="2"/>
  <c r="J37" i="2"/>
  <c r="J36" i="2"/>
  <c r="J51" i="2"/>
  <c r="J50" i="2"/>
  <c r="I22" i="1" l="1"/>
  <c r="I32" i="1" s="1"/>
  <c r="H32" i="1"/>
  <c r="I46" i="1"/>
  <c r="I10" i="1"/>
  <c r="H20" i="1"/>
  <c r="H84" i="1"/>
  <c r="J31" i="2"/>
  <c r="J27" i="2" s="1"/>
  <c r="J23" i="2"/>
  <c r="J19" i="2"/>
  <c r="H49" i="2" l="1"/>
  <c r="I69" i="1"/>
  <c r="H36" i="2" l="1"/>
  <c r="H35" i="2" s="1"/>
  <c r="H34" i="2" s="1"/>
  <c r="J49" i="2"/>
  <c r="I26" i="2"/>
  <c r="J8" i="2"/>
  <c r="K8" i="2"/>
  <c r="I8" i="2"/>
  <c r="F50" i="2"/>
  <c r="M103" i="1"/>
  <c r="L103" i="1"/>
  <c r="J35" i="2" l="1"/>
  <c r="J34" i="2" s="1"/>
  <c r="M38" i="2"/>
  <c r="M37" i="2" l="1"/>
  <c r="M36" i="2"/>
  <c r="M40" i="2" l="1"/>
  <c r="M39" i="2"/>
  <c r="M41" i="2" l="1"/>
  <c r="F37" i="2" l="1"/>
  <c r="F38" i="2"/>
  <c r="F39" i="2"/>
  <c r="F40" i="2"/>
  <c r="F41" i="2"/>
  <c r="D51" i="2"/>
  <c r="L51" i="2" s="1"/>
  <c r="E51" i="2"/>
  <c r="I51" i="2" s="1"/>
  <c r="K51" i="2" s="1"/>
  <c r="E50" i="2"/>
  <c r="I50" i="2" s="1"/>
  <c r="D37" i="2"/>
  <c r="L37" i="2" s="1"/>
  <c r="E37" i="2"/>
  <c r="I37" i="2" s="1"/>
  <c r="K37" i="2" s="1"/>
  <c r="D38" i="2"/>
  <c r="L38" i="2" s="1"/>
  <c r="E38" i="2"/>
  <c r="I38" i="2" s="1"/>
  <c r="K38" i="2" s="1"/>
  <c r="D39" i="2"/>
  <c r="L39" i="2" s="1"/>
  <c r="E39" i="2"/>
  <c r="I39" i="2" s="1"/>
  <c r="K39" i="2" s="1"/>
  <c r="D40" i="2"/>
  <c r="L40" i="2" s="1"/>
  <c r="E40" i="2"/>
  <c r="I40" i="2" s="1"/>
  <c r="K40" i="2" s="1"/>
  <c r="D41" i="2"/>
  <c r="L41" i="2" s="1"/>
  <c r="E41" i="2"/>
  <c r="I41" i="2" s="1"/>
  <c r="K41" i="2" s="1"/>
  <c r="E36" i="2"/>
  <c r="I36" i="2" s="1"/>
  <c r="I92" i="1"/>
  <c r="G39" i="2" s="1"/>
  <c r="I93" i="1"/>
  <c r="G40" i="2" s="1"/>
  <c r="I94" i="1"/>
  <c r="G41" i="2" s="1"/>
  <c r="I91" i="1"/>
  <c r="G38" i="2" s="1"/>
  <c r="G12" i="2"/>
  <c r="G16" i="2"/>
  <c r="I70" i="1"/>
  <c r="F17" i="2"/>
  <c r="I67" i="1"/>
  <c r="G14" i="2" s="1"/>
  <c r="G17" i="2" l="1"/>
  <c r="G15" i="2" s="1"/>
  <c r="I68" i="1"/>
  <c r="K50" i="2"/>
  <c r="I49" i="2"/>
  <c r="K49" i="2" s="1"/>
  <c r="I35" i="2"/>
  <c r="K36" i="2"/>
  <c r="K35" i="2" s="1"/>
  <c r="F51" i="2"/>
  <c r="K34" i="2" l="1"/>
  <c r="I34" i="2"/>
  <c r="I104" i="1"/>
  <c r="G51" i="2" s="1"/>
  <c r="H37" i="1" l="1"/>
  <c r="I37" i="1" s="1"/>
  <c r="L92" i="1" l="1"/>
  <c r="K94" i="1"/>
  <c r="L94" i="1"/>
  <c r="H76" i="1" l="1"/>
  <c r="P17" i="2"/>
  <c r="P16" i="2"/>
  <c r="Q16" i="2" s="1"/>
  <c r="P25" i="2"/>
  <c r="P24" i="2"/>
  <c r="Q24" i="2" s="1"/>
  <c r="I25" i="2"/>
  <c r="K25" i="2" s="1"/>
  <c r="D25" i="2"/>
  <c r="L25" i="2" s="1"/>
  <c r="F24" i="2"/>
  <c r="I24" i="2"/>
  <c r="K24" i="2" s="1"/>
  <c r="D24" i="2"/>
  <c r="L24" i="2" s="1"/>
  <c r="F22" i="2"/>
  <c r="I22" i="2"/>
  <c r="K22" i="2" s="1"/>
  <c r="K19" i="2" s="1"/>
  <c r="D22" i="2"/>
  <c r="L22" i="2" s="1"/>
  <c r="F21" i="2"/>
  <c r="I21" i="2"/>
  <c r="K21" i="2" s="1"/>
  <c r="D21" i="2"/>
  <c r="L21" i="2" s="1"/>
  <c r="F20" i="2"/>
  <c r="I20" i="2"/>
  <c r="K20" i="2" s="1"/>
  <c r="D20" i="2"/>
  <c r="L20" i="2" s="1"/>
  <c r="E17" i="2"/>
  <c r="I17" i="2" s="1"/>
  <c r="K17" i="2" s="1"/>
  <c r="D17" i="2"/>
  <c r="F16" i="2"/>
  <c r="E16" i="2"/>
  <c r="I16" i="2" s="1"/>
  <c r="D16" i="2"/>
  <c r="D13" i="2"/>
  <c r="L13" i="2" s="1"/>
  <c r="E13" i="2"/>
  <c r="I13" i="2" s="1"/>
  <c r="K13" i="2" s="1"/>
  <c r="D14" i="2"/>
  <c r="E14" i="2"/>
  <c r="I14" i="2" s="1"/>
  <c r="K14" i="2" s="1"/>
  <c r="F12" i="2"/>
  <c r="E12" i="2"/>
  <c r="D12" i="2"/>
  <c r="L12" i="2" s="1"/>
  <c r="O23" i="2"/>
  <c r="Q21" i="2"/>
  <c r="O21" i="2" s="1"/>
  <c r="Q20" i="2"/>
  <c r="O20" i="2" s="1"/>
  <c r="R20" i="2" s="1"/>
  <c r="S19" i="2"/>
  <c r="O15" i="2"/>
  <c r="Q13" i="2"/>
  <c r="O13" i="2" s="1"/>
  <c r="Q12" i="2"/>
  <c r="O12" i="2" s="1"/>
  <c r="R12" i="2" s="1"/>
  <c r="S11" i="2"/>
  <c r="F33" i="2"/>
  <c r="F32" i="2"/>
  <c r="F30" i="2"/>
  <c r="G29" i="2"/>
  <c r="F29" i="2"/>
  <c r="F28" i="2"/>
  <c r="P33" i="2"/>
  <c r="Q33" i="2" s="1"/>
  <c r="P32" i="2"/>
  <c r="Q32" i="2" s="1"/>
  <c r="R13" i="2" l="1"/>
  <c r="R21" i="2"/>
  <c r="L19" i="2"/>
  <c r="L23" i="2"/>
  <c r="L17" i="2"/>
  <c r="L16" i="2"/>
  <c r="L14" i="2"/>
  <c r="L11" i="2" s="1"/>
  <c r="I12" i="2"/>
  <c r="E11" i="2"/>
  <c r="I15" i="2"/>
  <c r="K16" i="2"/>
  <c r="K15" i="2" s="1"/>
  <c r="K23" i="2"/>
  <c r="I23" i="2"/>
  <c r="I19" i="2"/>
  <c r="F19" i="2"/>
  <c r="D23" i="2"/>
  <c r="E15" i="2"/>
  <c r="D11" i="2"/>
  <c r="D15" i="2"/>
  <c r="S16" i="2"/>
  <c r="E23" i="2"/>
  <c r="Q14" i="2"/>
  <c r="O14" i="2" s="1"/>
  <c r="D19" i="2"/>
  <c r="F23" i="2"/>
  <c r="S17" i="2"/>
  <c r="E19" i="2"/>
  <c r="Q22" i="2"/>
  <c r="O22" i="2" s="1"/>
  <c r="R22" i="2" s="1"/>
  <c r="O24" i="2"/>
  <c r="R24" i="2" s="1"/>
  <c r="Q25" i="2"/>
  <c r="T16" i="2"/>
  <c r="O16" i="2"/>
  <c r="R16" i="2" s="1"/>
  <c r="Q17" i="2"/>
  <c r="T17" i="2" s="1"/>
  <c r="E33" i="2"/>
  <c r="I33" i="2" s="1"/>
  <c r="K33" i="2" s="1"/>
  <c r="E32" i="2"/>
  <c r="I32" i="2" s="1"/>
  <c r="K32" i="2" s="1"/>
  <c r="E30" i="2"/>
  <c r="I30" i="2" s="1"/>
  <c r="K30" i="2" s="1"/>
  <c r="E29" i="2"/>
  <c r="I29" i="2" s="1"/>
  <c r="K29" i="2" s="1"/>
  <c r="E28" i="2"/>
  <c r="I28" i="2" s="1"/>
  <c r="D33" i="2"/>
  <c r="D32" i="2"/>
  <c r="L32" i="2" s="1"/>
  <c r="D29" i="2"/>
  <c r="L29" i="2" s="1"/>
  <c r="D28" i="2"/>
  <c r="L28" i="2" s="1"/>
  <c r="L86" i="1"/>
  <c r="K86" i="1"/>
  <c r="L85" i="1"/>
  <c r="K85" i="1"/>
  <c r="L83" i="1"/>
  <c r="K83" i="1"/>
  <c r="L82" i="1"/>
  <c r="K82" i="1"/>
  <c r="L81" i="1"/>
  <c r="K81" i="1"/>
  <c r="L78" i="1"/>
  <c r="K78" i="1"/>
  <c r="L77" i="1"/>
  <c r="K77" i="1"/>
  <c r="L75" i="1"/>
  <c r="K75" i="1"/>
  <c r="L74" i="1"/>
  <c r="K74" i="1"/>
  <c r="L73" i="1"/>
  <c r="K73" i="1"/>
  <c r="K65" i="1"/>
  <c r="K66" i="1"/>
  <c r="K67" i="1"/>
  <c r="K69" i="1"/>
  <c r="K70" i="1"/>
  <c r="L67" i="1"/>
  <c r="L66" i="1"/>
  <c r="L65" i="1"/>
  <c r="L70" i="1"/>
  <c r="L69" i="1"/>
  <c r="J45" i="1"/>
  <c r="R19" i="2" l="1"/>
  <c r="L15" i="2"/>
  <c r="L30" i="2"/>
  <c r="L27" i="2" s="1"/>
  <c r="L33" i="2"/>
  <c r="R14" i="2"/>
  <c r="R11" i="2" s="1"/>
  <c r="I11" i="2"/>
  <c r="K12" i="2"/>
  <c r="K11" i="2" s="1"/>
  <c r="I27" i="2"/>
  <c r="K28" i="2"/>
  <c r="K27" i="2" s="1"/>
  <c r="K31" i="2"/>
  <c r="I31" i="2"/>
  <c r="S15" i="2"/>
  <c r="S10" i="2" s="1"/>
  <c r="O25" i="2"/>
  <c r="R25" i="2" s="1"/>
  <c r="R23" i="2" s="1"/>
  <c r="T14" i="2"/>
  <c r="T11" i="2" s="1"/>
  <c r="O17" i="2"/>
  <c r="R17" i="2" s="1"/>
  <c r="R15" i="2" s="1"/>
  <c r="T15" i="2"/>
  <c r="R18" i="2" l="1"/>
  <c r="L31" i="2"/>
  <c r="R10" i="2"/>
  <c r="T10" i="2"/>
  <c r="F48" i="2"/>
  <c r="F47" i="2"/>
  <c r="F46" i="2"/>
  <c r="F45" i="2"/>
  <c r="F44" i="2"/>
  <c r="F43" i="2"/>
  <c r="E48" i="2"/>
  <c r="I48" i="2" s="1"/>
  <c r="E47" i="2"/>
  <c r="I47" i="2" s="1"/>
  <c r="E46" i="2"/>
  <c r="I46" i="2" s="1"/>
  <c r="E45" i="2"/>
  <c r="I45" i="2" s="1"/>
  <c r="E44" i="2"/>
  <c r="I44" i="2" s="1"/>
  <c r="E43" i="2"/>
  <c r="I43" i="2" s="1"/>
  <c r="Q51" i="2"/>
  <c r="O51" i="2" s="1"/>
  <c r="R51" i="2" s="1"/>
  <c r="Q50" i="2"/>
  <c r="Q29" i="2"/>
  <c r="E49" i="2"/>
  <c r="T42" i="2"/>
  <c r="R42" i="2"/>
  <c r="Q42" i="2"/>
  <c r="D50" i="2"/>
  <c r="L50" i="2" s="1"/>
  <c r="L49" i="2" s="1"/>
  <c r="D48" i="2"/>
  <c r="D47" i="2"/>
  <c r="D46" i="2"/>
  <c r="D45" i="2"/>
  <c r="D44" i="2"/>
  <c r="D43" i="2"/>
  <c r="V10" i="2" l="1"/>
  <c r="Q49" i="2"/>
  <c r="N64" i="1"/>
  <c r="O50" i="2"/>
  <c r="R50" i="2" s="1"/>
  <c r="F42" i="2"/>
  <c r="D49" i="2"/>
  <c r="D42" i="2"/>
  <c r="F49" i="2"/>
  <c r="E42" i="2"/>
  <c r="I42" i="2" s="1"/>
  <c r="K103" i="1"/>
  <c r="L104" i="1"/>
  <c r="K104" i="1"/>
  <c r="I103" i="1"/>
  <c r="K90" i="1"/>
  <c r="K91" i="1"/>
  <c r="K92" i="1"/>
  <c r="K93" i="1"/>
  <c r="L93" i="1"/>
  <c r="L91" i="1"/>
  <c r="L90" i="1"/>
  <c r="I97" i="1"/>
  <c r="G44" i="2" s="1"/>
  <c r="I98" i="1"/>
  <c r="G45" i="2" s="1"/>
  <c r="I99" i="1"/>
  <c r="G46" i="2" s="1"/>
  <c r="I100" i="1"/>
  <c r="G47" i="2" s="1"/>
  <c r="I101" i="1"/>
  <c r="G48" i="2" s="1"/>
  <c r="I96" i="1"/>
  <c r="G43" i="2" s="1"/>
  <c r="G50" i="2" l="1"/>
  <c r="G49" i="2" s="1"/>
  <c r="N103" i="1"/>
  <c r="G42" i="2"/>
  <c r="T51" i="2"/>
  <c r="F107" i="1"/>
  <c r="F105" i="1"/>
  <c r="T50" i="2" l="1"/>
  <c r="T49" i="2" s="1"/>
  <c r="R49" i="2"/>
  <c r="I107" i="1"/>
  <c r="I105" i="1" s="1"/>
  <c r="H107" i="1"/>
  <c r="H105" i="1" s="1"/>
  <c r="G107" i="1"/>
  <c r="G105" i="1" s="1"/>
  <c r="F135" i="1"/>
  <c r="F136" i="1"/>
  <c r="G136" i="1"/>
  <c r="G135" i="1" l="1"/>
  <c r="G102" i="1"/>
  <c r="H102" i="1"/>
  <c r="I102" i="1"/>
  <c r="F102" i="1"/>
  <c r="I95" i="1"/>
  <c r="G95" i="1"/>
  <c r="F95" i="1"/>
  <c r="K102" i="1" l="1"/>
  <c r="L102" i="1"/>
  <c r="M102" i="1" l="1"/>
  <c r="I78" i="1"/>
  <c r="G25" i="2" s="1"/>
  <c r="S25" i="2" l="1"/>
  <c r="T25" i="2"/>
  <c r="D31" i="2"/>
  <c r="I75" i="1"/>
  <c r="G22" i="2" s="1"/>
  <c r="F44" i="1"/>
  <c r="T22" i="2" l="1"/>
  <c r="T19" i="2" s="1"/>
  <c r="I90" i="1"/>
  <c r="G37" i="2" s="1"/>
  <c r="H41" i="1" l="1"/>
  <c r="I41" i="1" s="1"/>
  <c r="H36" i="1"/>
  <c r="I36" i="1" s="1"/>
  <c r="H48" i="1"/>
  <c r="G59" i="1"/>
  <c r="G60" i="1"/>
  <c r="G61" i="1"/>
  <c r="I48" i="1" l="1"/>
  <c r="I56" i="1" s="1"/>
  <c r="H56" i="1"/>
  <c r="I61" i="1"/>
  <c r="G58" i="1"/>
  <c r="E35" i="2"/>
  <c r="I60" i="1" l="1"/>
  <c r="E34" i="2"/>
  <c r="S27" i="2"/>
  <c r="Q30" i="2" l="1"/>
  <c r="O30" i="2" s="1"/>
  <c r="R30" i="2" s="1"/>
  <c r="Q28" i="2"/>
  <c r="O28" i="2" s="1"/>
  <c r="R28" i="2" s="1"/>
  <c r="Q36" i="2"/>
  <c r="O36" i="2" s="1"/>
  <c r="Q38" i="2"/>
  <c r="O38" i="2" s="1"/>
  <c r="R38" i="2" s="1"/>
  <c r="Q40" i="2"/>
  <c r="O40" i="2" s="1"/>
  <c r="R40" i="2" s="1"/>
  <c r="I73" i="1"/>
  <c r="G20" i="2" s="1"/>
  <c r="I77" i="1"/>
  <c r="G24" i="2" s="1"/>
  <c r="Q41" i="2"/>
  <c r="T41" i="2" s="1"/>
  <c r="Q39" i="2"/>
  <c r="T39" i="2" s="1"/>
  <c r="Q37" i="2"/>
  <c r="T37" i="2" s="1"/>
  <c r="Q35" i="2"/>
  <c r="O31" i="2"/>
  <c r="F31" i="2"/>
  <c r="E31" i="2"/>
  <c r="O29" i="2"/>
  <c r="R29" i="2" s="1"/>
  <c r="F27" i="2"/>
  <c r="E27" i="2"/>
  <c r="D27" i="2"/>
  <c r="B9" i="2"/>
  <c r="J41" i="1"/>
  <c r="J55" i="1"/>
  <c r="J54" i="1"/>
  <c r="J51" i="1"/>
  <c r="J50" i="1"/>
  <c r="J46" i="1"/>
  <c r="J43" i="1"/>
  <c r="J42" i="1"/>
  <c r="J39" i="1"/>
  <c r="J38" i="1"/>
  <c r="J34" i="1"/>
  <c r="J33" i="1"/>
  <c r="J31" i="1"/>
  <c r="J30" i="1"/>
  <c r="J27" i="1"/>
  <c r="J26" i="1"/>
  <c r="J22" i="1"/>
  <c r="J21" i="1"/>
  <c r="J19" i="1"/>
  <c r="J15" i="1"/>
  <c r="J14" i="1"/>
  <c r="I83" i="1"/>
  <c r="G30" i="2" s="1"/>
  <c r="I85" i="1"/>
  <c r="G32" i="2" s="1"/>
  <c r="I86" i="1"/>
  <c r="F61" i="1"/>
  <c r="F60" i="1"/>
  <c r="F59" i="1"/>
  <c r="F58" i="1"/>
  <c r="F68" i="1"/>
  <c r="F84" i="1"/>
  <c r="L84" i="1" s="1"/>
  <c r="F32" i="1"/>
  <c r="R27" i="2" l="1"/>
  <c r="G33" i="2"/>
  <c r="S33" i="2" s="1"/>
  <c r="I84" i="1"/>
  <c r="I76" i="1"/>
  <c r="H68" i="1"/>
  <c r="F15" i="2"/>
  <c r="S32" i="2"/>
  <c r="H72" i="1"/>
  <c r="T32" i="2"/>
  <c r="T30" i="2"/>
  <c r="T27" i="2" s="1"/>
  <c r="J53" i="1"/>
  <c r="J17" i="1"/>
  <c r="J57" i="1" s="1"/>
  <c r="O37" i="2"/>
  <c r="R37" i="2" s="1"/>
  <c r="O41" i="2"/>
  <c r="R41" i="2" s="1"/>
  <c r="O39" i="2"/>
  <c r="R39" i="2" s="1"/>
  <c r="O33" i="2"/>
  <c r="R33" i="2" s="1"/>
  <c r="C9" i="2"/>
  <c r="D9" i="2" s="1"/>
  <c r="E9" i="2" s="1"/>
  <c r="F9" i="2" s="1"/>
  <c r="G9" i="2" s="1"/>
  <c r="M9" i="2" s="1"/>
  <c r="N9" i="2" s="1"/>
  <c r="O9" i="2" s="1"/>
  <c r="P9" i="2" s="1"/>
  <c r="Q9" i="2" s="1"/>
  <c r="R9" i="2" s="1"/>
  <c r="S9" i="2" s="1"/>
  <c r="T9" i="2" s="1"/>
  <c r="O32" i="2"/>
  <c r="R32" i="2" s="1"/>
  <c r="T38" i="2"/>
  <c r="T40" i="2"/>
  <c r="A62" i="1"/>
  <c r="G20" i="1"/>
  <c r="F56" i="1"/>
  <c r="F139" i="1"/>
  <c r="F138" i="1"/>
  <c r="F137" i="1"/>
  <c r="G32" i="1"/>
  <c r="G44" i="1"/>
  <c r="H44" i="1" s="1"/>
  <c r="G56" i="1"/>
  <c r="G139" i="1"/>
  <c r="G138" i="1"/>
  <c r="G137" i="1"/>
  <c r="H60" i="1"/>
  <c r="H61" i="1"/>
  <c r="H66" i="1"/>
  <c r="F13" i="2" s="1"/>
  <c r="G72" i="1"/>
  <c r="K72" i="1" s="1"/>
  <c r="G64" i="1"/>
  <c r="G80" i="1"/>
  <c r="F72" i="1"/>
  <c r="L72" i="1" s="1"/>
  <c r="F64" i="1"/>
  <c r="L64" i="1" s="1"/>
  <c r="F80" i="1"/>
  <c r="L80" i="1" s="1"/>
  <c r="F76" i="1"/>
  <c r="I81" i="1"/>
  <c r="G28" i="2" s="1"/>
  <c r="G27" i="2" s="1"/>
  <c r="G84" i="1"/>
  <c r="K84" i="1" s="1"/>
  <c r="G76" i="1"/>
  <c r="I74" i="1"/>
  <c r="G68" i="1"/>
  <c r="K68" i="1" s="1"/>
  <c r="B7" i="1"/>
  <c r="K80" i="1" l="1"/>
  <c r="R31" i="2"/>
  <c r="R26" i="2" s="1"/>
  <c r="T33" i="2"/>
  <c r="T31" i="2" s="1"/>
  <c r="G31" i="2"/>
  <c r="I72" i="1"/>
  <c r="G21" i="2"/>
  <c r="G23" i="2"/>
  <c r="S24" i="2"/>
  <c r="S23" i="2" s="1"/>
  <c r="S18" i="2" s="1"/>
  <c r="T24" i="2"/>
  <c r="T23" i="2" s="1"/>
  <c r="L76" i="1"/>
  <c r="K76" i="1"/>
  <c r="F14" i="2"/>
  <c r="F11" i="2" s="1"/>
  <c r="H64" i="1"/>
  <c r="K64" i="1"/>
  <c r="S31" i="2"/>
  <c r="S26" i="2" s="1"/>
  <c r="G57" i="1"/>
  <c r="I59" i="1"/>
  <c r="H59" i="1"/>
  <c r="F57" i="1"/>
  <c r="G140" i="1"/>
  <c r="I66" i="1"/>
  <c r="F140" i="1"/>
  <c r="I80" i="1"/>
  <c r="H80" i="1"/>
  <c r="B62" i="1"/>
  <c r="C7" i="1"/>
  <c r="G88" i="1"/>
  <c r="G13" i="2" l="1"/>
  <c r="G11" i="2" s="1"/>
  <c r="I64" i="1"/>
  <c r="W18" i="2"/>
  <c r="W31" i="2"/>
  <c r="W35" i="2" s="1"/>
  <c r="G19" i="2"/>
  <c r="T18" i="2"/>
  <c r="H57" i="1"/>
  <c r="K57" i="1"/>
  <c r="L57" i="1"/>
  <c r="D7" i="1"/>
  <c r="T26" i="2"/>
  <c r="C62" i="1"/>
  <c r="V26" i="2" l="1"/>
  <c r="V28" i="2" s="1"/>
  <c r="N85" i="1"/>
  <c r="E7" i="1"/>
  <c r="F7" i="1" l="1"/>
  <c r="G7" i="1" s="1"/>
  <c r="H7" i="1" l="1"/>
  <c r="H62" i="1" s="1"/>
  <c r="G62" i="1"/>
  <c r="F62" i="1"/>
  <c r="I7" i="1" l="1"/>
  <c r="I62" i="1" l="1"/>
  <c r="I9" i="1"/>
  <c r="H58" i="1"/>
  <c r="I58" i="1" l="1"/>
  <c r="I20" i="1"/>
  <c r="I57" i="1" s="1"/>
  <c r="U13" i="2" l="1"/>
  <c r="L89" i="1" l="1"/>
  <c r="K89" i="1"/>
  <c r="F88" i="1"/>
  <c r="M88" i="1" s="1"/>
  <c r="D36" i="2"/>
  <c r="D35" i="2" s="1"/>
  <c r="D34" i="2" s="1"/>
  <c r="H89" i="1"/>
  <c r="F36" i="2" s="1"/>
  <c r="F35" i="2" s="1"/>
  <c r="F34" i="2" s="1"/>
  <c r="H88" i="1" l="1"/>
  <c r="N88" i="1" s="1"/>
  <c r="L36" i="2"/>
  <c r="L35" i="2" s="1"/>
  <c r="L34" i="2" s="1"/>
  <c r="L88" i="1"/>
  <c r="I89" i="1"/>
  <c r="K88" i="1"/>
  <c r="R36" i="2" l="1"/>
  <c r="R35" i="2" s="1"/>
  <c r="R34" i="2" s="1"/>
  <c r="V34" i="2" s="1"/>
  <c r="I88" i="1"/>
  <c r="G36" i="2"/>
  <c r="T36" i="2" l="1"/>
  <c r="T35" i="2" s="1"/>
  <c r="G35" i="2"/>
  <c r="G34" i="2" s="1"/>
</calcChain>
</file>

<file path=xl/sharedStrings.xml><?xml version="1.0" encoding="utf-8"?>
<sst xmlns="http://schemas.openxmlformats.org/spreadsheetml/2006/main" count="334" uniqueCount="83">
  <si>
    <t>Наименование муниципального учреждения</t>
  </si>
  <si>
    <t>Наименование государственной услуги</t>
  </si>
  <si>
    <t>Условие, отражающее специфику услуги</t>
  </si>
  <si>
    <t>МОБУ Новобурейская СОШ № 1</t>
  </si>
  <si>
    <t>Реализация основных общеобразовательных программ начального общего образования (показатель объема - число обучающихся)</t>
  </si>
  <si>
    <t>Реализация основных общеобразовательных программ основного общего образования (показатель объема - число обучающихся)</t>
  </si>
  <si>
    <t>Реализация основных общеобразовательных программ среднего общего образования (показатель объема - число обучающихся)</t>
  </si>
  <si>
    <t>Итого</t>
  </si>
  <si>
    <t>МОБУ Новобурейская СОШ № 3</t>
  </si>
  <si>
    <t>МОБУ Бурейская СОШ</t>
  </si>
  <si>
    <t>МОБУ Талаканская СОШ № 5</t>
  </si>
  <si>
    <t>Объем услуг</t>
  </si>
  <si>
    <t>МДОБУ Новобурейский д/с "Искорка"</t>
  </si>
  <si>
    <t>Всего</t>
  </si>
  <si>
    <t>Присмотр и уход</t>
  </si>
  <si>
    <t>Реализация основных общеобразовательных программ дошкольного образования</t>
  </si>
  <si>
    <t>От 1 года до 3 лет</t>
  </si>
  <si>
    <t>От 3 лет до 8 лет</t>
  </si>
  <si>
    <t>МДОБУ Бурейский д/с № 50 "Теремок"</t>
  </si>
  <si>
    <t>МДОБУ ЦРР - д/с № 4 "Лесовичек"</t>
  </si>
  <si>
    <t xml:space="preserve">Реализация дополнительных общеразвивающих программ </t>
  </si>
  <si>
    <t>по физкультурно-спортивному направлению</t>
  </si>
  <si>
    <t>по туристско-краеведческому направлению</t>
  </si>
  <si>
    <t>по техническому направлению</t>
  </si>
  <si>
    <t>по социально-педагогическому направлению</t>
  </si>
  <si>
    <t>по естественно-научному направлению</t>
  </si>
  <si>
    <t>по художественному направлению</t>
  </si>
  <si>
    <t>МАУ ДОД ЦВР</t>
  </si>
  <si>
    <t>откл в сверх нормы (&gt;5%)</t>
  </si>
  <si>
    <t xml:space="preserve">в т.ч. за счет средств </t>
  </si>
  <si>
    <t>собственных доходов (размер родительской платы за оказание муниципальной услуги)</t>
  </si>
  <si>
    <t>бюджета</t>
  </si>
  <si>
    <t xml:space="preserve"> за счет средств районного бюджета (гр.7* гр.13)</t>
  </si>
  <si>
    <t>за счет средств областного бюджета (гр.7* гр.12)</t>
  </si>
  <si>
    <t>Данные предварительного отчета о выполнении муниципального задания</t>
  </si>
  <si>
    <t>по муниципальному заданию</t>
  </si>
  <si>
    <t>ожидаемое исполнение по итогам года</t>
  </si>
  <si>
    <t>откл в пределах нормы (5%) (-) превышение МЗ</t>
  </si>
  <si>
    <t>очная</t>
  </si>
  <si>
    <t>на дому</t>
  </si>
  <si>
    <t>обучающиеся, за искл.обуч-ся с ОВЗ и детей-инвалидов</t>
  </si>
  <si>
    <t>дети-инвалиды</t>
  </si>
  <si>
    <t>обучающиеся с ОВЗ</t>
  </si>
  <si>
    <t>в т.ч</t>
  </si>
  <si>
    <t xml:space="preserve">Образовательная программа </t>
  </si>
  <si>
    <t xml:space="preserve">Адаптированная образовательная программа </t>
  </si>
  <si>
    <t>группа полного дня</t>
  </si>
  <si>
    <t>Нормативные затраты на оказание i-ой услуги, руб.</t>
  </si>
  <si>
    <t>в том числе</t>
  </si>
  <si>
    <t>Расчет уменьшения размера субсидии на муниципальное задание по результатам предварительных отчетов</t>
  </si>
  <si>
    <t>в том числе, по источникам финансирования</t>
  </si>
  <si>
    <t>Приложение № 2</t>
  </si>
  <si>
    <t xml:space="preserve">областного </t>
  </si>
  <si>
    <t xml:space="preserve">районного </t>
  </si>
  <si>
    <t>Приложение № 1</t>
  </si>
  <si>
    <t>Сумма уменьшения размера субсидии (гр.7* гр.13)</t>
  </si>
  <si>
    <t>Общеобразовательные учреждения</t>
  </si>
  <si>
    <t>Дошкольные образовательные учреждения</t>
  </si>
  <si>
    <t>не указано</t>
  </si>
  <si>
    <t>Адаптированная образовательная программа</t>
  </si>
  <si>
    <t>дети-сироты и дети, оставшиеся без попечения родителей</t>
  </si>
  <si>
    <t>физические лица за исключением льготных категорий</t>
  </si>
  <si>
    <t>Реализация дополнительных общеразвивающих программ (персонифицированное финансирование)</t>
  </si>
  <si>
    <t>Реализация дополнительных предпрофессиональных программ в области физической культуры и спорта</t>
  </si>
  <si>
    <t>этап начальной подготовки</t>
  </si>
  <si>
    <t>тренировочный этап</t>
  </si>
  <si>
    <t>Дополнительное образование детей</t>
  </si>
  <si>
    <t>МОБУ Нобобурейская СОШ № 3</t>
  </si>
  <si>
    <t>х</t>
  </si>
  <si>
    <t>Расчет уменьшения размера субсидии на муниципальное задание по результатам предварительных отчетов об исполнении муниципальных заданий бюджетными и автономными образовательными учреждениями Бурейского района за 2020 год</t>
  </si>
  <si>
    <t>Анализ предварительных отчетов об исполнении муниципальных заданий бюджетными и автономными образовательными учреждениями Бурейского района за 2021 год</t>
  </si>
  <si>
    <t>по социально-гуманитарному направлению</t>
  </si>
  <si>
    <t>Итого по учреждению</t>
  </si>
  <si>
    <t>по утвержденному муниципальному заданию</t>
  </si>
  <si>
    <t>уточненное муниципальное задание</t>
  </si>
  <si>
    <t>Размер уменьшения объема МЗ</t>
  </si>
  <si>
    <t>Ожидаемый отчет о выполнении муниципального задания по итогам года</t>
  </si>
  <si>
    <t>Реализация дополнительных общеразвивающих программ</t>
  </si>
  <si>
    <t>физохрана</t>
  </si>
  <si>
    <t>комм</t>
  </si>
  <si>
    <t>интернет</t>
  </si>
  <si>
    <t>к приказу МКУ Отдел образования администрации Бурейского района от 23.11.2021 № 207</t>
  </si>
  <si>
    <r>
      <t xml:space="preserve">к приказу МКУ Отдел образования администрации Бурейского района                                 от </t>
    </r>
    <r>
      <rPr>
        <u/>
        <sz val="11"/>
        <rFont val="Times New Roman"/>
        <family val="1"/>
        <charset val="204"/>
      </rPr>
      <t>23.11.2021 № 207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</si>
</sst>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#,##0.000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CCEC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1" fillId="0" borderId="6" xfId="0" applyFont="1" applyBorder="1" applyAlignment="1">
      <alignment horizontal="left" wrapText="1"/>
    </xf>
    <xf numFmtId="3" fontId="1" fillId="0" borderId="1" xfId="0" applyNumberFormat="1" applyFont="1" applyFill="1" applyBorder="1"/>
    <xf numFmtId="0" fontId="6" fillId="0" borderId="0" xfId="0" applyFont="1"/>
    <xf numFmtId="3" fontId="1" fillId="0" borderId="6" xfId="0" applyNumberFormat="1" applyFont="1" applyFill="1" applyBorder="1"/>
    <xf numFmtId="3" fontId="1" fillId="0" borderId="8" xfId="0" applyNumberFormat="1" applyFont="1" applyBorder="1"/>
    <xf numFmtId="0" fontId="4" fillId="0" borderId="1" xfId="0" applyFont="1" applyBorder="1"/>
    <xf numFmtId="3" fontId="1" fillId="2" borderId="1" xfId="0" applyNumberFormat="1" applyFont="1" applyFill="1" applyBorder="1"/>
    <xf numFmtId="3" fontId="1" fillId="2" borderId="8" xfId="0" applyNumberFormat="1" applyFont="1" applyFill="1" applyBorder="1"/>
    <xf numFmtId="165" fontId="1" fillId="2" borderId="1" xfId="0" applyNumberFormat="1" applyFont="1" applyFill="1" applyBorder="1"/>
    <xf numFmtId="4" fontId="1" fillId="0" borderId="7" xfId="0" applyNumberFormat="1" applyFont="1" applyFill="1" applyBorder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8" xfId="0" applyNumberFormat="1" applyFont="1" applyFill="1" applyBorder="1"/>
    <xf numFmtId="0" fontId="9" fillId="0" borderId="0" xfId="0" applyFont="1" applyFill="1"/>
    <xf numFmtId="0" fontId="1" fillId="0" borderId="7" xfId="0" applyFont="1" applyBorder="1"/>
    <xf numFmtId="3" fontId="1" fillId="2" borderId="7" xfId="0" applyNumberFormat="1" applyFont="1" applyFill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8" fillId="0" borderId="6" xfId="0" applyFont="1" applyBorder="1"/>
    <xf numFmtId="0" fontId="10" fillId="0" borderId="0" xfId="0" applyFont="1"/>
    <xf numFmtId="0" fontId="8" fillId="0" borderId="6" xfId="0" applyFont="1" applyBorder="1" applyAlignment="1">
      <alignment wrapText="1"/>
    </xf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Border="1"/>
    <xf numFmtId="3" fontId="0" fillId="0" borderId="0" xfId="0" applyNumberFormat="1"/>
    <xf numFmtId="0" fontId="1" fillId="0" borderId="1" xfId="0" applyFont="1" applyBorder="1" applyAlignment="1">
      <alignment horizontal="left" wrapText="1"/>
    </xf>
    <xf numFmtId="4" fontId="2" fillId="0" borderId="3" xfId="0" applyNumberFormat="1" applyFont="1" applyFill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5" fillId="0" borderId="7" xfId="0" applyNumberFormat="1" applyFont="1" applyFill="1" applyBorder="1"/>
    <xf numFmtId="3" fontId="6" fillId="0" borderId="0" xfId="0" applyNumberFormat="1" applyFont="1"/>
    <xf numFmtId="0" fontId="8" fillId="0" borderId="9" xfId="0" applyFont="1" applyBorder="1" applyAlignment="1">
      <alignment wrapText="1"/>
    </xf>
    <xf numFmtId="4" fontId="1" fillId="2" borderId="1" xfId="0" applyNumberFormat="1" applyFont="1" applyFill="1" applyBorder="1"/>
    <xf numFmtId="0" fontId="0" fillId="0" borderId="7" xfId="0" applyBorder="1" applyAlignment="1">
      <alignment wrapText="1"/>
    </xf>
    <xf numFmtId="0" fontId="1" fillId="0" borderId="17" xfId="0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3" fontId="2" fillId="0" borderId="6" xfId="0" applyNumberFormat="1" applyFont="1" applyBorder="1"/>
    <xf numFmtId="0" fontId="2" fillId="0" borderId="1" xfId="0" applyFont="1" applyBorder="1" applyAlignment="1">
      <alignment vertical="top" wrapText="1"/>
    </xf>
    <xf numFmtId="0" fontId="9" fillId="0" borderId="1" xfId="0" applyFont="1" applyBorder="1"/>
    <xf numFmtId="3" fontId="4" fillId="0" borderId="1" xfId="0" applyNumberFormat="1" applyFont="1" applyFill="1" applyBorder="1"/>
    <xf numFmtId="3" fontId="8" fillId="0" borderId="7" xfId="0" applyNumberFormat="1" applyFont="1" applyBorder="1"/>
    <xf numFmtId="0" fontId="2" fillId="0" borderId="3" xfId="0" applyFont="1" applyFill="1" applyBorder="1" applyAlignment="1">
      <alignment horizontal="right"/>
    </xf>
    <xf numFmtId="4" fontId="7" fillId="0" borderId="3" xfId="0" applyNumberFormat="1" applyFont="1" applyFill="1" applyBorder="1"/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4" fontId="1" fillId="2" borderId="7" xfId="0" applyNumberFormat="1" applyFont="1" applyFill="1" applyBorder="1"/>
    <xf numFmtId="4" fontId="1" fillId="2" borderId="17" xfId="0" applyNumberFormat="1" applyFont="1" applyFill="1" applyBorder="1"/>
    <xf numFmtId="3" fontId="1" fillId="3" borderId="1" xfId="0" applyNumberFormat="1" applyFont="1" applyFill="1" applyBorder="1"/>
    <xf numFmtId="165" fontId="1" fillId="4" borderId="1" xfId="0" applyNumberFormat="1" applyFont="1" applyFill="1" applyBorder="1"/>
    <xf numFmtId="0" fontId="12" fillId="0" borderId="7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13" fillId="0" borderId="7" xfId="0" applyNumberFormat="1" applyFont="1" applyBorder="1"/>
    <xf numFmtId="0" fontId="4" fillId="0" borderId="7" xfId="0" applyFont="1" applyBorder="1"/>
    <xf numFmtId="0" fontId="1" fillId="0" borderId="23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165" fontId="2" fillId="0" borderId="9" xfId="0" applyNumberFormat="1" applyFont="1" applyFill="1" applyBorder="1"/>
    <xf numFmtId="3" fontId="1" fillId="2" borderId="25" xfId="0" applyNumberFormat="1" applyFont="1" applyFill="1" applyBorder="1"/>
    <xf numFmtId="3" fontId="1" fillId="3" borderId="25" xfId="0" applyNumberFormat="1" applyFont="1" applyFill="1" applyBorder="1"/>
    <xf numFmtId="165" fontId="1" fillId="4" borderId="25" xfId="0" applyNumberFormat="1" applyFont="1" applyFill="1" applyBorder="1"/>
    <xf numFmtId="165" fontId="1" fillId="2" borderId="25" xfId="0" applyNumberFormat="1" applyFont="1" applyFill="1" applyBorder="1"/>
    <xf numFmtId="3" fontId="4" fillId="2" borderId="22" xfId="0" applyNumberFormat="1" applyFont="1" applyFill="1" applyBorder="1"/>
    <xf numFmtId="3" fontId="1" fillId="2" borderId="14" xfId="0" applyNumberFormat="1" applyFont="1" applyFill="1" applyBorder="1"/>
    <xf numFmtId="3" fontId="1" fillId="3" borderId="14" xfId="0" applyNumberFormat="1" applyFont="1" applyFill="1" applyBorder="1"/>
    <xf numFmtId="165" fontId="1" fillId="4" borderId="14" xfId="0" applyNumberFormat="1" applyFont="1" applyFill="1" applyBorder="1"/>
    <xf numFmtId="165" fontId="1" fillId="2" borderId="14" xfId="0" applyNumberFormat="1" applyFont="1" applyFill="1" applyBorder="1"/>
    <xf numFmtId="3" fontId="1" fillId="3" borderId="23" xfId="0" applyNumberFormat="1" applyFont="1" applyFill="1" applyBorder="1"/>
    <xf numFmtId="3" fontId="4" fillId="2" borderId="26" xfId="0" applyNumberFormat="1" applyFont="1" applyFill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4" fontId="7" fillId="0" borderId="21" xfId="0" applyNumberFormat="1" applyFont="1" applyFill="1" applyBorder="1"/>
    <xf numFmtId="4" fontId="7" fillId="0" borderId="22" xfId="0" applyNumberFormat="1" applyFont="1" applyFill="1" applyBorder="1"/>
    <xf numFmtId="0" fontId="5" fillId="0" borderId="1" xfId="0" applyFont="1" applyFill="1" applyBorder="1"/>
    <xf numFmtId="4" fontId="5" fillId="0" borderId="22" xfId="0" applyNumberFormat="1" applyFont="1" applyFill="1" applyBorder="1"/>
    <xf numFmtId="2" fontId="7" fillId="0" borderId="1" xfId="0" applyNumberFormat="1" applyFont="1" applyFill="1" applyBorder="1"/>
    <xf numFmtId="2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164" fontId="13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 applyBorder="1"/>
    <xf numFmtId="3" fontId="5" fillId="0" borderId="0" xfId="0" applyNumberFormat="1" applyFont="1" applyBorder="1"/>
    <xf numFmtId="0" fontId="1" fillId="0" borderId="0" xfId="0" applyFont="1" applyBorder="1"/>
    <xf numFmtId="0" fontId="8" fillId="0" borderId="1" xfId="0" applyFont="1" applyBorder="1"/>
    <xf numFmtId="3" fontId="0" fillId="0" borderId="0" xfId="0" applyNumberFormat="1" applyFill="1"/>
    <xf numFmtId="3" fontId="8" fillId="0" borderId="9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" fontId="4" fillId="0" borderId="1" xfId="0" applyNumberFormat="1" applyFont="1" applyFill="1" applyBorder="1"/>
    <xf numFmtId="0" fontId="12" fillId="0" borderId="1" xfId="0" applyFont="1" applyFill="1" applyBorder="1"/>
    <xf numFmtId="0" fontId="4" fillId="0" borderId="1" xfId="0" applyFont="1" applyFill="1" applyBorder="1"/>
    <xf numFmtId="2" fontId="5" fillId="0" borderId="8" xfId="0" applyNumberFormat="1" applyFont="1" applyFill="1" applyBorder="1"/>
    <xf numFmtId="4" fontId="5" fillId="0" borderId="27" xfId="0" applyNumberFormat="1" applyFont="1" applyFill="1" applyBorder="1"/>
    <xf numFmtId="164" fontId="7" fillId="0" borderId="1" xfId="0" applyNumberFormat="1" applyFont="1" applyBorder="1"/>
    <xf numFmtId="4" fontId="8" fillId="0" borderId="1" xfId="0" applyNumberFormat="1" applyFont="1" applyBorder="1"/>
    <xf numFmtId="0" fontId="16" fillId="0" borderId="1" xfId="0" applyFont="1" applyFill="1" applyBorder="1"/>
    <xf numFmtId="0" fontId="10" fillId="0" borderId="1" xfId="0" applyFont="1" applyBorder="1"/>
    <xf numFmtId="3" fontId="2" fillId="0" borderId="6" xfId="0" applyNumberFormat="1" applyFont="1" applyFill="1" applyBorder="1"/>
    <xf numFmtId="2" fontId="4" fillId="0" borderId="1" xfId="0" applyNumberFormat="1" applyFont="1" applyFill="1" applyBorder="1" applyAlignment="1">
      <alignment horizontal="left" wrapText="1"/>
    </xf>
    <xf numFmtId="2" fontId="4" fillId="0" borderId="8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/>
    <xf numFmtId="4" fontId="4" fillId="0" borderId="8" xfId="0" applyNumberFormat="1" applyFont="1" applyFill="1" applyBorder="1"/>
    <xf numFmtId="0" fontId="8" fillId="0" borderId="1" xfId="0" applyFont="1" applyFill="1" applyBorder="1"/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" fontId="8" fillId="0" borderId="3" xfId="0" applyNumberFormat="1" applyFont="1" applyFill="1" applyBorder="1"/>
    <xf numFmtId="0" fontId="4" fillId="0" borderId="1" xfId="0" applyFont="1" applyBorder="1" applyAlignment="1">
      <alignment horizontal="center" wrapText="1"/>
    </xf>
    <xf numFmtId="3" fontId="8" fillId="0" borderId="1" xfId="0" applyNumberFormat="1" applyFont="1" applyFill="1" applyBorder="1"/>
    <xf numFmtId="4" fontId="0" fillId="0" borderId="0" xfId="0" applyNumberFormat="1" applyFill="1"/>
    <xf numFmtId="4" fontId="1" fillId="0" borderId="1" xfId="0" applyNumberFormat="1" applyFont="1" applyBorder="1"/>
    <xf numFmtId="4" fontId="0" fillId="0" borderId="0" xfId="0" applyNumberFormat="1"/>
    <xf numFmtId="0" fontId="12" fillId="0" borderId="0" xfId="0" applyFont="1" applyAlignment="1">
      <alignment wrapText="1"/>
    </xf>
    <xf numFmtId="0" fontId="12" fillId="0" borderId="0" xfId="0" applyFont="1"/>
    <xf numFmtId="0" fontId="4" fillId="0" borderId="8" xfId="0" applyFont="1" applyFill="1" applyBorder="1" applyAlignment="1">
      <alignment wrapText="1"/>
    </xf>
    <xf numFmtId="166" fontId="8" fillId="0" borderId="3" xfId="0" applyNumberFormat="1" applyFont="1" applyFill="1" applyBorder="1"/>
    <xf numFmtId="166" fontId="8" fillId="0" borderId="1" xfId="0" applyNumberFormat="1" applyFont="1" applyFill="1" applyBorder="1"/>
    <xf numFmtId="4" fontId="18" fillId="0" borderId="0" xfId="0" applyNumberFormat="1" applyFont="1"/>
    <xf numFmtId="0" fontId="4" fillId="0" borderId="1" xfId="0" applyFont="1" applyBorder="1" applyAlignment="1">
      <alignment horizontal="center" wrapText="1"/>
    </xf>
    <xf numFmtId="1" fontId="0" fillId="0" borderId="0" xfId="0" applyNumberFormat="1"/>
    <xf numFmtId="4" fontId="5" fillId="0" borderId="11" xfId="0" applyNumberFormat="1" applyFont="1" applyFill="1" applyBorder="1"/>
    <xf numFmtId="0" fontId="8" fillId="0" borderId="8" xfId="0" applyFont="1" applyFill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left" wrapText="1"/>
    </xf>
    <xf numFmtId="4" fontId="8" fillId="0" borderId="8" xfId="0" applyNumberFormat="1" applyFont="1" applyFill="1" applyBorder="1"/>
    <xf numFmtId="2" fontId="4" fillId="0" borderId="1" xfId="0" applyNumberFormat="1" applyFont="1" applyFill="1" applyBorder="1" applyAlignment="1">
      <alignment horizontal="right" wrapText="1"/>
    </xf>
    <xf numFmtId="3" fontId="4" fillId="0" borderId="8" xfId="0" applyNumberFormat="1" applyFont="1" applyFill="1" applyBorder="1"/>
    <xf numFmtId="3" fontId="8" fillId="0" borderId="8" xfId="0" applyNumberFormat="1" applyFont="1" applyFill="1" applyBorder="1"/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4" fillId="0" borderId="1" xfId="0" applyNumberFormat="1" applyFont="1" applyBorder="1"/>
    <xf numFmtId="0" fontId="0" fillId="0" borderId="1" xfId="0" applyBorder="1"/>
    <xf numFmtId="3" fontId="4" fillId="2" borderId="1" xfId="0" applyNumberFormat="1" applyFont="1" applyFill="1" applyBorder="1"/>
    <xf numFmtId="3" fontId="4" fillId="0" borderId="7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2" fontId="5" fillId="0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5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3" fontId="1" fillId="0" borderId="7" xfId="0" applyNumberFormat="1" applyFont="1" applyFill="1" applyBorder="1"/>
    <xf numFmtId="0" fontId="8" fillId="0" borderId="6" xfId="0" applyFont="1" applyFill="1" applyBorder="1"/>
    <xf numFmtId="0" fontId="2" fillId="0" borderId="6" xfId="0" applyFont="1" applyFill="1" applyBorder="1"/>
    <xf numFmtId="3" fontId="2" fillId="0" borderId="7" xfId="0" applyNumberFormat="1" applyFont="1" applyFill="1" applyBorder="1"/>
    <xf numFmtId="0" fontId="9" fillId="0" borderId="1" xfId="0" applyFont="1" applyFill="1" applyBorder="1"/>
    <xf numFmtId="0" fontId="0" fillId="0" borderId="7" xfId="0" applyFill="1" applyBorder="1" applyAlignment="1">
      <alignment wrapText="1"/>
    </xf>
    <xf numFmtId="3" fontId="8" fillId="0" borderId="7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80;&#1076;&#1080;&#1103;%20&#1040;&#1083;&#1100;&#1073;&#1077;&#1088;&#1090;&#1086;&#1074;&#1085;&#1072;/Desktop/&#1088;&#1072;&#1089;&#1095;&#1077;&#1090;%20&#1085;&#1086;&#1088;&#1084;&#1072;&#1090;&#1080;&#1074;&#1085;&#1099;&#1093;%20&#1079;&#1072;&#1090;&#1088;&#1072;&#1090;/&#1053;&#1054;&#1042;&#1054;&#1045;/&#1088;&#1072;&#1089;&#1095;&#1077;&#1090;%20&#1085;&#1086;&#1088;&#1084;.%20&#1079;&#1072;&#1090;&#1088;&#1072;&#1090;%20&#1085;&#1072;&#1096;%20-%20&#1085;&#1072;%202021/&#1044;&#1054;&#1059;/&#1087;&#1086;-&#1085;&#1086;&#1074;&#1086;&#1084;&#1091;/&#1044;&#1054;&#1059;%203%20&#1088;&#1077;&#1076;%20&#1089;&#1077;&#1085;%20&#1080;&#1079;&#1084;%20&#1085;&#1072;%202021/&#1088;&#1072;&#1089;&#1095;&#1077;&#1090;%20&#1085;&#1086;&#1088;&#1084;&#1072;&#1090;&#1080;&#1074;&#1072;%20&#1079;&#1072;&#1090;&#1088;&#1072;&#1090;%20&#1080;%20&#1089;&#1091;&#1073;&#1089;&#1080;&#1076;&#1080;&#1080;%20&#1044;&#1054;&#1059;%202%20&#1088;&#1077;&#1076;%20(&#1089;&#1077;&#1085;)%20&#1085;&#1072;%202021%20-%20&#1080;&#1079;&#1084;%20&#1052;&#104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80;&#1076;&#1080;&#1103;%20&#1040;&#1083;&#1100;&#1073;&#1077;&#1088;&#1090;&#1086;&#1074;&#1085;&#1072;/Desktop/&#1088;&#1072;&#1089;&#1095;&#1077;&#1090;%20&#1085;&#1086;&#1088;&#1084;&#1072;&#1090;&#1080;&#1074;&#1085;&#1099;&#1093;%20&#1079;&#1072;&#1090;&#1088;&#1072;&#1090;/&#1053;&#1054;&#1042;&#1054;&#1045;/&#1088;&#1072;&#1089;&#1095;&#1077;&#1090;%20&#1085;&#1086;&#1088;&#1084;.%20&#1079;&#1072;&#1090;&#1088;&#1072;&#1090;%20&#1085;&#1072;&#1096;%20-%20&#1085;&#1072;%202021/&#1044;&#1054;&#1044;/&#1044;&#1054;&#1044;/&#1044;&#1054;&#1044;%20%20&#1088;&#1077;&#1076;%20&#1103;&#1085;&#1074;&#1072;&#1088;&#1100;,%20&#1084;&#1072;&#1088;&#1090;%20&#1080;&#1079;&#1084;%20&#1055;&#1060;%202020%20&#1085;&#1072;%202021/&#1044;&#1054;&#1044;%20&#1088;&#1072;&#1089;&#1095;&#1077;&#1090;%20&#1085;&#1086;&#1088;&#1084;&#1072;&#1090;&#1080;&#1074;&#1072;%20&#1079;&#1072;&#1090;&#1088;&#1072;&#1090;%20&#1080;%20&#1089;&#1091;&#1073;&#1089;&#1080;&#1076;&#1080;&#1080;%203%20&#1088;&#1077;&#1076;%20&#1074;%20&#1085;&#1086;&#1103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З "/>
      <sheetName val="субсидия"/>
    </sheetNames>
    <sheetDataSet>
      <sheetData sheetId="0"/>
      <sheetData sheetId="1">
        <row r="5">
          <cell r="S5">
            <v>-3.8163736462593079E-3</v>
          </cell>
        </row>
        <row r="7">
          <cell r="E7">
            <v>138079.98918425859</v>
          </cell>
        </row>
        <row r="8">
          <cell r="E8">
            <v>74639.995059701352</v>
          </cell>
        </row>
        <row r="10">
          <cell r="E10">
            <v>150538.99859611964</v>
          </cell>
        </row>
        <row r="11">
          <cell r="E11">
            <v>60675.002596119637</v>
          </cell>
        </row>
        <row r="12">
          <cell r="E12">
            <v>60675.002596119637</v>
          </cell>
        </row>
        <row r="15">
          <cell r="E15">
            <v>146321.59396482434</v>
          </cell>
        </row>
        <row r="16">
          <cell r="E16">
            <v>97944.958840267092</v>
          </cell>
        </row>
        <row r="18">
          <cell r="E18">
            <v>154047.79862625565</v>
          </cell>
        </row>
        <row r="19">
          <cell r="E19">
            <v>71744.042626255628</v>
          </cell>
        </row>
        <row r="20">
          <cell r="E20">
            <v>71744.042626255628</v>
          </cell>
        </row>
        <row r="23">
          <cell r="E23">
            <v>148987.99389383092</v>
          </cell>
        </row>
        <row r="24">
          <cell r="E24">
            <v>105484.79876927368</v>
          </cell>
        </row>
        <row r="26">
          <cell r="E26">
            <v>155182.99863600553</v>
          </cell>
        </row>
        <row r="27">
          <cell r="E27">
            <v>75325.202636005517</v>
          </cell>
        </row>
        <row r="28">
          <cell r="E28">
            <v>75325.202636005517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З "/>
      <sheetName val="субсидия"/>
    </sheetNames>
    <sheetDataSet>
      <sheetData sheetId="0"/>
      <sheetData sheetId="1">
        <row r="7">
          <cell r="G7">
            <v>105.64783611083439</v>
          </cell>
        </row>
        <row r="8">
          <cell r="G8">
            <v>119.52656057644134</v>
          </cell>
        </row>
        <row r="9">
          <cell r="G9">
            <v>120.71552555414323</v>
          </cell>
        </row>
        <row r="10">
          <cell r="G10">
            <v>120.27552555414323</v>
          </cell>
        </row>
        <row r="11">
          <cell r="G11">
            <v>120.27552555414323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zoomScaleNormal="100" workbookViewId="0">
      <selection activeCell="J44" sqref="J1:N1048576"/>
    </sheetView>
  </sheetViews>
  <sheetFormatPr defaultRowHeight="15" x14ac:dyDescent="0.25"/>
  <cols>
    <col min="1" max="1" width="11.42578125" style="171" customWidth="1"/>
    <col min="2" max="2" width="25.85546875" style="1" customWidth="1"/>
    <col min="3" max="3" width="20.85546875" style="1" customWidth="1"/>
    <col min="4" max="4" width="17.7109375" style="1" customWidth="1"/>
    <col min="5" max="5" width="8" style="1" customWidth="1"/>
    <col min="6" max="6" width="10.5703125" customWidth="1"/>
    <col min="7" max="7" width="11.28515625" style="10" customWidth="1"/>
    <col min="8" max="8" width="13.7109375" style="18" customWidth="1"/>
    <col min="9" max="9" width="7.5703125" customWidth="1"/>
    <col min="10" max="10" width="13.140625" hidden="1" customWidth="1"/>
    <col min="11" max="12" width="0" hidden="1" customWidth="1"/>
    <col min="13" max="13" width="9.140625" hidden="1" customWidth="1"/>
    <col min="14" max="14" width="13.140625" hidden="1" customWidth="1"/>
  </cols>
  <sheetData>
    <row r="1" spans="1:10" ht="16.5" customHeight="1" x14ac:dyDescent="0.25">
      <c r="F1" s="209" t="s">
        <v>54</v>
      </c>
      <c r="G1" s="209"/>
      <c r="H1" s="209"/>
      <c r="I1" s="209"/>
      <c r="J1" s="43"/>
    </row>
    <row r="2" spans="1:10" ht="48.75" customHeight="1" x14ac:dyDescent="0.25">
      <c r="F2" s="213" t="s">
        <v>81</v>
      </c>
      <c r="G2" s="213"/>
      <c r="H2" s="213"/>
      <c r="I2" s="213"/>
      <c r="J2" s="45"/>
    </row>
    <row r="3" spans="1:10" ht="39.75" customHeight="1" x14ac:dyDescent="0.25">
      <c r="A3" s="198" t="s">
        <v>70</v>
      </c>
      <c r="B3" s="198"/>
      <c r="C3" s="198"/>
      <c r="D3" s="198"/>
      <c r="E3" s="198"/>
      <c r="F3" s="198"/>
      <c r="G3" s="198"/>
      <c r="H3" s="198"/>
      <c r="I3" s="198"/>
      <c r="J3" s="67"/>
    </row>
    <row r="4" spans="1:10" ht="29.25" customHeight="1" x14ac:dyDescent="0.25">
      <c r="A4" s="180" t="s">
        <v>0</v>
      </c>
      <c r="B4" s="185" t="s">
        <v>1</v>
      </c>
      <c r="C4" s="202" t="s">
        <v>2</v>
      </c>
      <c r="D4" s="203"/>
      <c r="E4" s="203"/>
      <c r="F4" s="212" t="s">
        <v>34</v>
      </c>
      <c r="G4" s="212"/>
      <c r="H4" s="212"/>
      <c r="I4" s="212"/>
      <c r="J4" s="44"/>
    </row>
    <row r="5" spans="1:10" ht="15" customHeight="1" x14ac:dyDescent="0.25">
      <c r="A5" s="180"/>
      <c r="B5" s="185"/>
      <c r="C5" s="204"/>
      <c r="D5" s="205"/>
      <c r="E5" s="205"/>
      <c r="F5" s="187" t="s">
        <v>11</v>
      </c>
      <c r="G5" s="188"/>
      <c r="H5" s="188"/>
      <c r="I5" s="189"/>
      <c r="J5" s="40"/>
    </row>
    <row r="6" spans="1:10" ht="54.75" customHeight="1" x14ac:dyDescent="0.25">
      <c r="A6" s="180"/>
      <c r="B6" s="185"/>
      <c r="C6" s="39">
        <v>1</v>
      </c>
      <c r="D6" s="40">
        <v>2</v>
      </c>
      <c r="E6" s="40">
        <v>3</v>
      </c>
      <c r="F6" s="3" t="s">
        <v>35</v>
      </c>
      <c r="G6" s="68" t="s">
        <v>36</v>
      </c>
      <c r="H6" s="160" t="s">
        <v>37</v>
      </c>
      <c r="I6" s="6" t="s">
        <v>28</v>
      </c>
      <c r="J6" s="39"/>
    </row>
    <row r="7" spans="1:10" ht="13.5" customHeight="1" x14ac:dyDescent="0.25">
      <c r="A7" s="161">
        <v>1</v>
      </c>
      <c r="B7" s="4">
        <f t="shared" ref="B7:I7" si="0">A7+1</f>
        <v>2</v>
      </c>
      <c r="C7" s="4">
        <f t="shared" si="0"/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161">
        <f t="shared" si="0"/>
        <v>8</v>
      </c>
      <c r="I7" s="4">
        <f t="shared" si="0"/>
        <v>9</v>
      </c>
      <c r="J7" s="4"/>
    </row>
    <row r="8" spans="1:10" ht="13.5" customHeight="1" x14ac:dyDescent="0.25">
      <c r="A8" s="187" t="s">
        <v>56</v>
      </c>
      <c r="B8" s="188"/>
      <c r="C8" s="188"/>
      <c r="D8" s="188"/>
      <c r="E8" s="188"/>
      <c r="F8" s="188"/>
      <c r="G8" s="188"/>
      <c r="H8" s="188"/>
      <c r="I8" s="189"/>
      <c r="J8" s="72"/>
    </row>
    <row r="9" spans="1:10" s="10" customFormat="1" ht="25.5" customHeight="1" x14ac:dyDescent="0.25">
      <c r="A9" s="214" t="s">
        <v>3</v>
      </c>
      <c r="B9" s="178" t="s">
        <v>4</v>
      </c>
      <c r="C9" s="177" t="s">
        <v>58</v>
      </c>
      <c r="D9" s="73" t="s">
        <v>40</v>
      </c>
      <c r="E9" s="5" t="s">
        <v>58</v>
      </c>
      <c r="F9" s="71">
        <v>140</v>
      </c>
      <c r="G9" s="71">
        <f>142-G10-G12-G13-G11</f>
        <v>136</v>
      </c>
      <c r="H9" s="162">
        <v>5</v>
      </c>
      <c r="I9" s="24">
        <f>F9-G9-H9</f>
        <v>-1</v>
      </c>
      <c r="J9" s="14">
        <f>SUM(F9:F13)</f>
        <v>145</v>
      </c>
    </row>
    <row r="10" spans="1:10" s="10" customFormat="1" ht="14.25" customHeight="1" x14ac:dyDescent="0.25">
      <c r="A10" s="176"/>
      <c r="B10" s="199"/>
      <c r="C10" s="200"/>
      <c r="D10" s="5" t="s">
        <v>41</v>
      </c>
      <c r="E10" s="5" t="s">
        <v>58</v>
      </c>
      <c r="F10" s="13">
        <v>2</v>
      </c>
      <c r="G10" s="13">
        <v>2</v>
      </c>
      <c r="H10" s="9">
        <f t="shared" ref="H10" si="1">MROUND(F10*5%,1)</f>
        <v>0</v>
      </c>
      <c r="I10" s="24">
        <f t="shared" ref="I10:I19" si="2">F10-G10-H10</f>
        <v>0</v>
      </c>
      <c r="J10" s="14">
        <f>SUM(G9:G13)</f>
        <v>142</v>
      </c>
    </row>
    <row r="11" spans="1:10" s="10" customFormat="1" ht="14.25" customHeight="1" x14ac:dyDescent="0.25">
      <c r="A11" s="176"/>
      <c r="B11" s="199"/>
      <c r="C11" s="178"/>
      <c r="D11" s="5" t="s">
        <v>41</v>
      </c>
      <c r="E11" s="5" t="s">
        <v>39</v>
      </c>
      <c r="F11" s="13">
        <v>1</v>
      </c>
      <c r="G11" s="13">
        <v>3</v>
      </c>
      <c r="H11" s="9">
        <v>0</v>
      </c>
      <c r="I11" s="24">
        <f t="shared" si="2"/>
        <v>-2</v>
      </c>
      <c r="J11" s="14"/>
    </row>
    <row r="12" spans="1:10" s="10" customFormat="1" ht="22.5" customHeight="1" x14ac:dyDescent="0.25">
      <c r="A12" s="176"/>
      <c r="B12" s="199"/>
      <c r="C12" s="177" t="s">
        <v>59</v>
      </c>
      <c r="D12" s="5" t="s">
        <v>42</v>
      </c>
      <c r="E12" s="5" t="s">
        <v>58</v>
      </c>
      <c r="F12" s="13">
        <v>0</v>
      </c>
      <c r="G12" s="13">
        <v>1</v>
      </c>
      <c r="H12" s="9">
        <v>0</v>
      </c>
      <c r="I12" s="24">
        <f t="shared" si="2"/>
        <v>-1</v>
      </c>
      <c r="J12" s="64">
        <v>142</v>
      </c>
    </row>
    <row r="13" spans="1:10" s="10" customFormat="1" ht="15" customHeight="1" x14ac:dyDescent="0.25">
      <c r="A13" s="176"/>
      <c r="B13" s="199"/>
      <c r="C13" s="178"/>
      <c r="D13" s="5" t="s">
        <v>42</v>
      </c>
      <c r="E13" s="5" t="s">
        <v>39</v>
      </c>
      <c r="F13" s="13">
        <v>2</v>
      </c>
      <c r="G13" s="13">
        <v>0</v>
      </c>
      <c r="H13" s="9">
        <v>0</v>
      </c>
      <c r="I13" s="24">
        <f t="shared" si="2"/>
        <v>2</v>
      </c>
      <c r="J13" s="14"/>
    </row>
    <row r="14" spans="1:10" s="10" customFormat="1" ht="25.5" customHeight="1" x14ac:dyDescent="0.25">
      <c r="A14" s="176"/>
      <c r="B14" s="177" t="s">
        <v>5</v>
      </c>
      <c r="C14" s="177" t="s">
        <v>58</v>
      </c>
      <c r="D14" s="5" t="s">
        <v>40</v>
      </c>
      <c r="E14" s="5" t="s">
        <v>58</v>
      </c>
      <c r="F14" s="13">
        <v>197</v>
      </c>
      <c r="G14" s="13">
        <f>206-G15-G16-G17</f>
        <v>199</v>
      </c>
      <c r="H14" s="162">
        <f>F14-G14</f>
        <v>-2</v>
      </c>
      <c r="I14" s="24">
        <f t="shared" si="2"/>
        <v>0</v>
      </c>
      <c r="J14" s="14">
        <f>SUM(F14:F17)</f>
        <v>206</v>
      </c>
    </row>
    <row r="15" spans="1:10" s="10" customFormat="1" ht="15.75" customHeight="1" x14ac:dyDescent="0.25">
      <c r="A15" s="176"/>
      <c r="B15" s="200"/>
      <c r="C15" s="178"/>
      <c r="D15" s="5" t="s">
        <v>41</v>
      </c>
      <c r="E15" s="5" t="s">
        <v>58</v>
      </c>
      <c r="F15" s="13">
        <v>0</v>
      </c>
      <c r="G15" s="13">
        <v>3</v>
      </c>
      <c r="H15" s="9">
        <f t="shared" ref="H15" si="3">MROUND(F15*5%,1)</f>
        <v>0</v>
      </c>
      <c r="I15" s="24">
        <f t="shared" si="2"/>
        <v>-3</v>
      </c>
      <c r="J15" s="14">
        <f>SUM(G14:G17)</f>
        <v>206</v>
      </c>
    </row>
    <row r="16" spans="1:10" s="10" customFormat="1" ht="25.5" customHeight="1" x14ac:dyDescent="0.25">
      <c r="A16" s="176"/>
      <c r="B16" s="200"/>
      <c r="C16" s="177" t="s">
        <v>59</v>
      </c>
      <c r="D16" s="5" t="s">
        <v>42</v>
      </c>
      <c r="E16" s="5" t="s">
        <v>58</v>
      </c>
      <c r="F16" s="13">
        <v>7</v>
      </c>
      <c r="G16" s="13">
        <v>4</v>
      </c>
      <c r="H16" s="9">
        <v>1</v>
      </c>
      <c r="I16" s="24">
        <f t="shared" si="2"/>
        <v>2</v>
      </c>
      <c r="J16" s="64">
        <v>206</v>
      </c>
    </row>
    <row r="17" spans="1:10" s="10" customFormat="1" ht="15" customHeight="1" x14ac:dyDescent="0.25">
      <c r="A17" s="176"/>
      <c r="B17" s="178"/>
      <c r="C17" s="178"/>
      <c r="D17" s="5" t="s">
        <v>42</v>
      </c>
      <c r="E17" s="5" t="s">
        <v>39</v>
      </c>
      <c r="F17" s="13">
        <v>2</v>
      </c>
      <c r="G17" s="13">
        <v>0</v>
      </c>
      <c r="H17" s="9">
        <v>0</v>
      </c>
      <c r="I17" s="24">
        <f t="shared" si="2"/>
        <v>2</v>
      </c>
      <c r="J17" s="65">
        <f>J20+J16+J12</f>
        <v>389</v>
      </c>
    </row>
    <row r="18" spans="1:10" s="10" customFormat="1" ht="25.5" customHeight="1" x14ac:dyDescent="0.25">
      <c r="A18" s="176"/>
      <c r="B18" s="177" t="s">
        <v>6</v>
      </c>
      <c r="C18" s="177" t="s">
        <v>58</v>
      </c>
      <c r="D18" s="5" t="s">
        <v>40</v>
      </c>
      <c r="E18" s="5" t="s">
        <v>38</v>
      </c>
      <c r="F18" s="13">
        <v>43</v>
      </c>
      <c r="G18" s="111">
        <f>41-G19</f>
        <v>40</v>
      </c>
      <c r="H18" s="9">
        <f>MROUND(F18*5%,1)</f>
        <v>2</v>
      </c>
      <c r="I18" s="24">
        <f t="shared" si="2"/>
        <v>1</v>
      </c>
      <c r="J18" s="16">
        <f>F18+F19</f>
        <v>44</v>
      </c>
    </row>
    <row r="19" spans="1:10" s="10" customFormat="1" ht="38.25" customHeight="1" x14ac:dyDescent="0.25">
      <c r="A19" s="176"/>
      <c r="B19" s="178"/>
      <c r="C19" s="178"/>
      <c r="D19" s="5" t="s">
        <v>41</v>
      </c>
      <c r="E19" s="5" t="s">
        <v>38</v>
      </c>
      <c r="F19" s="13">
        <v>1</v>
      </c>
      <c r="G19" s="111">
        <v>1</v>
      </c>
      <c r="H19" s="9">
        <v>0</v>
      </c>
      <c r="I19" s="24">
        <f t="shared" si="2"/>
        <v>0</v>
      </c>
      <c r="J19" s="16">
        <f>G18+G19</f>
        <v>41</v>
      </c>
    </row>
    <row r="20" spans="1:10" s="29" customFormat="1" ht="17.25" customHeight="1" thickBot="1" x14ac:dyDescent="0.3">
      <c r="A20" s="194"/>
      <c r="B20" s="27" t="s">
        <v>7</v>
      </c>
      <c r="C20" s="26"/>
      <c r="D20" s="26"/>
      <c r="E20" s="26"/>
      <c r="F20" s="28">
        <f>SUM(F9:F19)</f>
        <v>395</v>
      </c>
      <c r="G20" s="28">
        <f>SUM(G9:G19)</f>
        <v>389</v>
      </c>
      <c r="H20" s="163">
        <f t="shared" ref="H20:I20" si="4">SUM(H9:H19)</f>
        <v>6</v>
      </c>
      <c r="I20" s="28">
        <f t="shared" si="4"/>
        <v>0</v>
      </c>
      <c r="J20" s="64">
        <v>41</v>
      </c>
    </row>
    <row r="21" spans="1:10" s="10" customFormat="1" ht="26.25" customHeight="1" x14ac:dyDescent="0.25">
      <c r="A21" s="195" t="s">
        <v>8</v>
      </c>
      <c r="B21" s="178" t="s">
        <v>4</v>
      </c>
      <c r="C21" s="201" t="s">
        <v>58</v>
      </c>
      <c r="D21" s="5" t="s">
        <v>40</v>
      </c>
      <c r="E21" s="5" t="s">
        <v>58</v>
      </c>
      <c r="F21" s="71">
        <v>305</v>
      </c>
      <c r="G21" s="71">
        <f>312-G22-G24-G25-G23</f>
        <v>306</v>
      </c>
      <c r="H21" s="153">
        <f>F21-G21+4</f>
        <v>3</v>
      </c>
      <c r="I21" s="16">
        <f t="shared" ref="I21:I43" si="5">F21-G21-H21</f>
        <v>-4</v>
      </c>
      <c r="J21" s="14">
        <f>SUM(F21:F25)</f>
        <v>311</v>
      </c>
    </row>
    <row r="22" spans="1:10" s="10" customFormat="1" ht="15.75" customHeight="1" x14ac:dyDescent="0.25">
      <c r="A22" s="195"/>
      <c r="B22" s="178"/>
      <c r="C22" s="200"/>
      <c r="D22" s="5" t="s">
        <v>41</v>
      </c>
      <c r="E22" s="5" t="s">
        <v>58</v>
      </c>
      <c r="F22" s="71">
        <v>0</v>
      </c>
      <c r="G22" s="71">
        <v>1</v>
      </c>
      <c r="H22" s="56">
        <f t="shared" ref="H22" si="6">MROUND(F22*5%,1)</f>
        <v>0</v>
      </c>
      <c r="I22" s="16">
        <f t="shared" si="5"/>
        <v>-1</v>
      </c>
      <c r="J22" s="14">
        <f>SUM(G21:G25)</f>
        <v>312</v>
      </c>
    </row>
    <row r="23" spans="1:10" s="10" customFormat="1" ht="15.75" customHeight="1" x14ac:dyDescent="0.25">
      <c r="A23" s="195"/>
      <c r="B23" s="178"/>
      <c r="C23" s="178"/>
      <c r="D23" s="5" t="s">
        <v>41</v>
      </c>
      <c r="E23" s="5" t="s">
        <v>39</v>
      </c>
      <c r="F23" s="71">
        <v>2</v>
      </c>
      <c r="G23" s="71">
        <v>2</v>
      </c>
      <c r="H23" s="56">
        <v>0</v>
      </c>
      <c r="I23" s="16">
        <f t="shared" si="5"/>
        <v>0</v>
      </c>
      <c r="J23" s="14"/>
    </row>
    <row r="24" spans="1:10" s="10" customFormat="1" ht="26.25" customHeight="1" x14ac:dyDescent="0.25">
      <c r="A24" s="195"/>
      <c r="B24" s="178"/>
      <c r="C24" s="177" t="s">
        <v>59</v>
      </c>
      <c r="D24" s="5" t="s">
        <v>42</v>
      </c>
      <c r="E24" s="5" t="s">
        <v>58</v>
      </c>
      <c r="F24" s="71">
        <v>2</v>
      </c>
      <c r="G24" s="71">
        <v>2</v>
      </c>
      <c r="H24" s="56">
        <v>0</v>
      </c>
      <c r="I24" s="16">
        <f t="shared" si="5"/>
        <v>0</v>
      </c>
      <c r="J24" s="64">
        <v>312</v>
      </c>
    </row>
    <row r="25" spans="1:10" s="10" customFormat="1" ht="17.25" customHeight="1" x14ac:dyDescent="0.25">
      <c r="A25" s="191"/>
      <c r="B25" s="199"/>
      <c r="C25" s="178"/>
      <c r="D25" s="5" t="s">
        <v>42</v>
      </c>
      <c r="E25" s="5" t="s">
        <v>39</v>
      </c>
      <c r="F25" s="13">
        <v>2</v>
      </c>
      <c r="G25" s="13">
        <v>1</v>
      </c>
      <c r="H25" s="56">
        <v>0</v>
      </c>
      <c r="I25" s="16">
        <f t="shared" si="5"/>
        <v>1</v>
      </c>
      <c r="J25" s="14"/>
    </row>
    <row r="26" spans="1:10" s="10" customFormat="1" ht="39.75" customHeight="1" x14ac:dyDescent="0.25">
      <c r="A26" s="191"/>
      <c r="B26" s="177" t="s">
        <v>5</v>
      </c>
      <c r="C26" s="177" t="s">
        <v>58</v>
      </c>
      <c r="D26" s="5" t="s">
        <v>40</v>
      </c>
      <c r="E26" s="5" t="s">
        <v>58</v>
      </c>
      <c r="F26" s="13">
        <v>317</v>
      </c>
      <c r="G26" s="13">
        <f>337-G27-G28-G29</f>
        <v>323</v>
      </c>
      <c r="H26" s="153">
        <f>F26-G26</f>
        <v>-6</v>
      </c>
      <c r="I26" s="16">
        <f t="shared" si="5"/>
        <v>0</v>
      </c>
      <c r="J26" s="14">
        <f>SUM(F26:F29)</f>
        <v>336</v>
      </c>
    </row>
    <row r="27" spans="1:10" s="10" customFormat="1" ht="15.75" customHeight="1" x14ac:dyDescent="0.25">
      <c r="A27" s="191"/>
      <c r="B27" s="200"/>
      <c r="C27" s="178"/>
      <c r="D27" s="5" t="s">
        <v>41</v>
      </c>
      <c r="E27" s="5" t="s">
        <v>58</v>
      </c>
      <c r="F27" s="13">
        <v>3</v>
      </c>
      <c r="G27" s="13">
        <v>3</v>
      </c>
      <c r="H27" s="56">
        <f t="shared" ref="H27" si="7">MROUND(F27*5%,1)</f>
        <v>0</v>
      </c>
      <c r="I27" s="16">
        <f t="shared" si="5"/>
        <v>0</v>
      </c>
      <c r="J27" s="14">
        <f>SUM(G26:G29)</f>
        <v>337</v>
      </c>
    </row>
    <row r="28" spans="1:10" s="10" customFormat="1" ht="26.25" customHeight="1" x14ac:dyDescent="0.25">
      <c r="A28" s="191"/>
      <c r="B28" s="200"/>
      <c r="C28" s="177" t="s">
        <v>59</v>
      </c>
      <c r="D28" s="5" t="s">
        <v>42</v>
      </c>
      <c r="E28" s="5" t="s">
        <v>58</v>
      </c>
      <c r="F28" s="13">
        <v>11</v>
      </c>
      <c r="G28" s="13">
        <v>7</v>
      </c>
      <c r="H28" s="56">
        <v>1</v>
      </c>
      <c r="I28" s="16">
        <f t="shared" si="5"/>
        <v>3</v>
      </c>
      <c r="J28" s="64">
        <v>337</v>
      </c>
    </row>
    <row r="29" spans="1:10" s="10" customFormat="1" ht="15" customHeight="1" x14ac:dyDescent="0.25">
      <c r="A29" s="191"/>
      <c r="B29" s="178"/>
      <c r="C29" s="178"/>
      <c r="D29" s="5" t="s">
        <v>42</v>
      </c>
      <c r="E29" s="5" t="s">
        <v>39</v>
      </c>
      <c r="F29" s="13">
        <v>5</v>
      </c>
      <c r="G29" s="13">
        <v>4</v>
      </c>
      <c r="H29" s="56">
        <v>0</v>
      </c>
      <c r="I29" s="16">
        <f t="shared" si="5"/>
        <v>1</v>
      </c>
      <c r="J29" s="65">
        <f>J32+J28+J24</f>
        <v>722</v>
      </c>
    </row>
    <row r="30" spans="1:10" s="10" customFormat="1" ht="26.25" customHeight="1" x14ac:dyDescent="0.25">
      <c r="A30" s="191"/>
      <c r="B30" s="177" t="s">
        <v>6</v>
      </c>
      <c r="C30" s="177" t="s">
        <v>58</v>
      </c>
      <c r="D30" s="5" t="s">
        <v>40</v>
      </c>
      <c r="E30" s="5" t="s">
        <v>38</v>
      </c>
      <c r="F30" s="13">
        <v>74</v>
      </c>
      <c r="G30" s="111">
        <f>73-G31</f>
        <v>72</v>
      </c>
      <c r="H30" s="153">
        <f>F30-G30</f>
        <v>2</v>
      </c>
      <c r="I30" s="16">
        <f t="shared" si="5"/>
        <v>0</v>
      </c>
      <c r="J30" s="16">
        <f>F30+F31</f>
        <v>75</v>
      </c>
    </row>
    <row r="31" spans="1:10" s="10" customFormat="1" ht="37.5" customHeight="1" x14ac:dyDescent="0.25">
      <c r="A31" s="191"/>
      <c r="B31" s="178"/>
      <c r="C31" s="178"/>
      <c r="D31" s="5" t="s">
        <v>41</v>
      </c>
      <c r="E31" s="5" t="s">
        <v>38</v>
      </c>
      <c r="F31" s="13">
        <v>1</v>
      </c>
      <c r="G31" s="13">
        <v>1</v>
      </c>
      <c r="H31" s="56">
        <v>0</v>
      </c>
      <c r="I31" s="16">
        <f t="shared" si="5"/>
        <v>0</v>
      </c>
      <c r="J31" s="16">
        <f>G30+G31</f>
        <v>73</v>
      </c>
    </row>
    <row r="32" spans="1:10" s="29" customFormat="1" ht="17.25" customHeight="1" x14ac:dyDescent="0.25">
      <c r="A32" s="196"/>
      <c r="B32" s="69" t="s">
        <v>7</v>
      </c>
      <c r="C32" s="69"/>
      <c r="D32" s="69"/>
      <c r="E32" s="86"/>
      <c r="F32" s="102">
        <f>SUM(F21:F31)</f>
        <v>722</v>
      </c>
      <c r="G32" s="102">
        <f>SUM(G21:G31)</f>
        <v>722</v>
      </c>
      <c r="H32" s="123">
        <f t="shared" ref="H32:I32" si="8">SUM(H21:H31)</f>
        <v>0</v>
      </c>
      <c r="I32" s="102">
        <f t="shared" si="8"/>
        <v>0</v>
      </c>
      <c r="J32" s="64">
        <v>73</v>
      </c>
    </row>
    <row r="33" spans="1:11" s="10" customFormat="1" ht="26.25" customHeight="1" x14ac:dyDescent="0.25">
      <c r="A33" s="176" t="s">
        <v>9</v>
      </c>
      <c r="B33" s="199" t="s">
        <v>4</v>
      </c>
      <c r="C33" s="177" t="s">
        <v>58</v>
      </c>
      <c r="D33" s="5" t="s">
        <v>40</v>
      </c>
      <c r="E33" s="73" t="s">
        <v>58</v>
      </c>
      <c r="F33" s="71">
        <v>220</v>
      </c>
      <c r="G33" s="71">
        <f>218-G34-G36-G37-G35</f>
        <v>215</v>
      </c>
      <c r="H33" s="162">
        <v>5</v>
      </c>
      <c r="I33" s="16">
        <f t="shared" si="5"/>
        <v>0</v>
      </c>
      <c r="J33" s="80">
        <f>SUM(F33:F37)</f>
        <v>222</v>
      </c>
    </row>
    <row r="34" spans="1:11" s="10" customFormat="1" ht="26.25" customHeight="1" x14ac:dyDescent="0.25">
      <c r="A34" s="176"/>
      <c r="B34" s="199"/>
      <c r="C34" s="200"/>
      <c r="D34" s="5" t="s">
        <v>41</v>
      </c>
      <c r="E34" s="5" t="s">
        <v>58</v>
      </c>
      <c r="F34" s="71">
        <v>0</v>
      </c>
      <c r="G34" s="13">
        <v>1</v>
      </c>
      <c r="H34" s="9">
        <v>-1</v>
      </c>
      <c r="I34" s="16">
        <f t="shared" si="5"/>
        <v>0</v>
      </c>
      <c r="J34" s="80">
        <f>SUM(G33:G37)</f>
        <v>218</v>
      </c>
    </row>
    <row r="35" spans="1:11" s="10" customFormat="1" ht="15" customHeight="1" x14ac:dyDescent="0.25">
      <c r="A35" s="176"/>
      <c r="B35" s="199"/>
      <c r="C35" s="178"/>
      <c r="D35" s="5" t="s">
        <v>41</v>
      </c>
      <c r="E35" s="5" t="s">
        <v>39</v>
      </c>
      <c r="F35" s="71">
        <v>0</v>
      </c>
      <c r="G35" s="13">
        <v>0</v>
      </c>
      <c r="H35" s="9">
        <v>0</v>
      </c>
      <c r="I35" s="16">
        <f t="shared" si="5"/>
        <v>0</v>
      </c>
      <c r="J35" s="80"/>
    </row>
    <row r="36" spans="1:11" s="10" customFormat="1" ht="26.25" customHeight="1" x14ac:dyDescent="0.25">
      <c r="A36" s="176"/>
      <c r="B36" s="199"/>
      <c r="C36" s="199" t="s">
        <v>59</v>
      </c>
      <c r="D36" s="5" t="s">
        <v>42</v>
      </c>
      <c r="E36" s="5" t="s">
        <v>58</v>
      </c>
      <c r="F36" s="71">
        <v>1</v>
      </c>
      <c r="G36" s="13">
        <v>1</v>
      </c>
      <c r="H36" s="9">
        <f t="shared" ref="H36:H41" si="9">F36-G36</f>
        <v>0</v>
      </c>
      <c r="I36" s="16">
        <f t="shared" si="5"/>
        <v>0</v>
      </c>
      <c r="J36" s="81">
        <v>218</v>
      </c>
    </row>
    <row r="37" spans="1:11" s="10" customFormat="1" ht="17.25" customHeight="1" x14ac:dyDescent="0.25">
      <c r="A37" s="176"/>
      <c r="B37" s="199"/>
      <c r="C37" s="199"/>
      <c r="D37" s="5" t="s">
        <v>42</v>
      </c>
      <c r="E37" s="5" t="s">
        <v>39</v>
      </c>
      <c r="F37" s="13">
        <v>1</v>
      </c>
      <c r="G37" s="13">
        <v>1</v>
      </c>
      <c r="H37" s="9">
        <f>F37-G37</f>
        <v>0</v>
      </c>
      <c r="I37" s="16">
        <f t="shared" si="5"/>
        <v>0</v>
      </c>
      <c r="J37" s="80"/>
    </row>
    <row r="38" spans="1:11" s="10" customFormat="1" ht="26.25" customHeight="1" x14ac:dyDescent="0.25">
      <c r="A38" s="176"/>
      <c r="B38" s="199" t="s">
        <v>5</v>
      </c>
      <c r="C38" s="199" t="s">
        <v>58</v>
      </c>
      <c r="D38" s="5" t="s">
        <v>40</v>
      </c>
      <c r="E38" s="5" t="s">
        <v>58</v>
      </c>
      <c r="F38" s="13">
        <v>243</v>
      </c>
      <c r="G38" s="13">
        <f>256-G39-G40-G41</f>
        <v>241</v>
      </c>
      <c r="H38" s="9">
        <v>2</v>
      </c>
      <c r="I38" s="16">
        <f t="shared" si="5"/>
        <v>0</v>
      </c>
      <c r="J38" s="80">
        <f>SUM(F38:F41)</f>
        <v>258</v>
      </c>
    </row>
    <row r="39" spans="1:11" s="10" customFormat="1" ht="13.5" customHeight="1" x14ac:dyDescent="0.25">
      <c r="A39" s="176"/>
      <c r="B39" s="199"/>
      <c r="C39" s="199"/>
      <c r="D39" s="5" t="s">
        <v>41</v>
      </c>
      <c r="E39" s="5" t="s">
        <v>58</v>
      </c>
      <c r="F39" s="13">
        <v>0</v>
      </c>
      <c r="G39" s="13">
        <v>0</v>
      </c>
      <c r="H39" s="9">
        <f t="shared" ref="H39" si="10">MROUND(F39*5%,1)</f>
        <v>0</v>
      </c>
      <c r="I39" s="16">
        <f t="shared" si="5"/>
        <v>0</v>
      </c>
      <c r="J39" s="80">
        <f>SUM(G38:G41)</f>
        <v>256</v>
      </c>
    </row>
    <row r="40" spans="1:11" s="10" customFormat="1" ht="26.25" customHeight="1" x14ac:dyDescent="0.25">
      <c r="A40" s="176"/>
      <c r="B40" s="199"/>
      <c r="C40" s="199" t="s">
        <v>59</v>
      </c>
      <c r="D40" s="5" t="s">
        <v>42</v>
      </c>
      <c r="E40" s="5" t="s">
        <v>58</v>
      </c>
      <c r="F40" s="13">
        <v>11</v>
      </c>
      <c r="G40" s="13">
        <v>11</v>
      </c>
      <c r="H40" s="9">
        <v>0</v>
      </c>
      <c r="I40" s="16">
        <f t="shared" si="5"/>
        <v>0</v>
      </c>
      <c r="J40" s="81">
        <v>256</v>
      </c>
    </row>
    <row r="41" spans="1:11" s="10" customFormat="1" ht="15.75" customHeight="1" x14ac:dyDescent="0.25">
      <c r="A41" s="176"/>
      <c r="B41" s="199"/>
      <c r="C41" s="199"/>
      <c r="D41" s="5" t="s">
        <v>42</v>
      </c>
      <c r="E41" s="5" t="s">
        <v>39</v>
      </c>
      <c r="F41" s="13">
        <v>4</v>
      </c>
      <c r="G41" s="13">
        <v>4</v>
      </c>
      <c r="H41" s="9">
        <f t="shared" si="9"/>
        <v>0</v>
      </c>
      <c r="I41" s="16">
        <f t="shared" si="5"/>
        <v>0</v>
      </c>
      <c r="J41" s="82">
        <f>J44+J40+J36</f>
        <v>520</v>
      </c>
    </row>
    <row r="42" spans="1:11" s="10" customFormat="1" ht="26.25" customHeight="1" x14ac:dyDescent="0.25">
      <c r="A42" s="176"/>
      <c r="B42" s="199" t="s">
        <v>6</v>
      </c>
      <c r="C42" s="199" t="s">
        <v>58</v>
      </c>
      <c r="D42" s="5" t="s">
        <v>40</v>
      </c>
      <c r="E42" s="5" t="s">
        <v>38</v>
      </c>
      <c r="F42" s="13">
        <v>47</v>
      </c>
      <c r="G42" s="19">
        <f>46-G43</f>
        <v>46</v>
      </c>
      <c r="H42" s="9">
        <v>1</v>
      </c>
      <c r="I42" s="16">
        <f t="shared" si="5"/>
        <v>0</v>
      </c>
      <c r="J42" s="83">
        <f>F42+F43</f>
        <v>47</v>
      </c>
    </row>
    <row r="43" spans="1:11" s="10" customFormat="1" ht="39" customHeight="1" x14ac:dyDescent="0.25">
      <c r="A43" s="176"/>
      <c r="B43" s="199"/>
      <c r="C43" s="199"/>
      <c r="D43" s="5" t="s">
        <v>41</v>
      </c>
      <c r="E43" s="5" t="s">
        <v>38</v>
      </c>
      <c r="F43" s="13">
        <v>0</v>
      </c>
      <c r="G43" s="13">
        <v>0</v>
      </c>
      <c r="H43" s="9">
        <v>0</v>
      </c>
      <c r="I43" s="16">
        <f t="shared" si="5"/>
        <v>0</v>
      </c>
      <c r="J43" s="83">
        <f>G42+G43</f>
        <v>46</v>
      </c>
    </row>
    <row r="44" spans="1:11" s="29" customFormat="1" ht="17.25" customHeight="1" x14ac:dyDescent="0.25">
      <c r="A44" s="176"/>
      <c r="B44" s="86" t="s">
        <v>7</v>
      </c>
      <c r="C44" s="54"/>
      <c r="D44" s="54"/>
      <c r="E44" s="54"/>
      <c r="F44" s="31">
        <f>SUM(F33:F43)</f>
        <v>527</v>
      </c>
      <c r="G44" s="31">
        <f>SUM(G33:G43)</f>
        <v>520</v>
      </c>
      <c r="H44" s="31">
        <f>F44-G44</f>
        <v>7</v>
      </c>
      <c r="I44" s="87">
        <v>0</v>
      </c>
      <c r="J44" s="84">
        <v>46</v>
      </c>
    </row>
    <row r="45" spans="1:11" s="10" customFormat="1" ht="24.75" customHeight="1" x14ac:dyDescent="0.25">
      <c r="A45" s="215" t="s">
        <v>10</v>
      </c>
      <c r="B45" s="178" t="s">
        <v>4</v>
      </c>
      <c r="C45" s="177" t="s">
        <v>58</v>
      </c>
      <c r="D45" s="73" t="s">
        <v>40</v>
      </c>
      <c r="E45" s="73" t="s">
        <v>58</v>
      </c>
      <c r="F45" s="71">
        <v>224</v>
      </c>
      <c r="G45" s="71">
        <f>218-G46-G48-G49-G47</f>
        <v>214</v>
      </c>
      <c r="H45" s="162">
        <v>10</v>
      </c>
      <c r="I45" s="85">
        <f t="shared" ref="I45:I55" si="11">F45-G45-H45</f>
        <v>0</v>
      </c>
      <c r="J45" s="75">
        <f>SUM(F45:F49)</f>
        <v>227</v>
      </c>
    </row>
    <row r="46" spans="1:11" s="10" customFormat="1" ht="24.75" customHeight="1" x14ac:dyDescent="0.25">
      <c r="A46" s="216"/>
      <c r="B46" s="199"/>
      <c r="C46" s="200"/>
      <c r="D46" s="5" t="s">
        <v>41</v>
      </c>
      <c r="E46" s="5" t="s">
        <v>58</v>
      </c>
      <c r="F46" s="71">
        <v>1</v>
      </c>
      <c r="G46" s="71">
        <v>2</v>
      </c>
      <c r="H46" s="9">
        <f t="shared" ref="H46" si="12">MROUND(F46*5%,1)</f>
        <v>0</v>
      </c>
      <c r="I46" s="79">
        <f t="shared" si="11"/>
        <v>-1</v>
      </c>
      <c r="J46" s="75">
        <f>SUM(G45:G49)</f>
        <v>218</v>
      </c>
    </row>
    <row r="47" spans="1:11" s="10" customFormat="1" ht="24.75" customHeight="1" x14ac:dyDescent="0.25">
      <c r="A47" s="216"/>
      <c r="B47" s="199"/>
      <c r="C47" s="178"/>
      <c r="D47" s="5" t="s">
        <v>41</v>
      </c>
      <c r="E47" s="5" t="s">
        <v>39</v>
      </c>
      <c r="F47" s="71">
        <v>2</v>
      </c>
      <c r="G47" s="71">
        <v>2</v>
      </c>
      <c r="H47" s="9">
        <v>0</v>
      </c>
      <c r="I47" s="79">
        <f t="shared" si="11"/>
        <v>0</v>
      </c>
      <c r="J47" s="75"/>
    </row>
    <row r="48" spans="1:11" s="10" customFormat="1" ht="24.75" customHeight="1" x14ac:dyDescent="0.25">
      <c r="A48" s="216"/>
      <c r="B48" s="199"/>
      <c r="C48" s="177" t="s">
        <v>59</v>
      </c>
      <c r="D48" s="5" t="s">
        <v>42</v>
      </c>
      <c r="E48" s="5" t="s">
        <v>58</v>
      </c>
      <c r="F48" s="71">
        <v>0</v>
      </c>
      <c r="G48" s="71">
        <v>0</v>
      </c>
      <c r="H48" s="9">
        <f t="shared" ref="H48" si="13">F48-G48</f>
        <v>0</v>
      </c>
      <c r="I48" s="79">
        <f t="shared" si="11"/>
        <v>0</v>
      </c>
      <c r="J48" s="76">
        <v>218</v>
      </c>
      <c r="K48" s="47">
        <f>J48+J36+J24+J12</f>
        <v>890</v>
      </c>
    </row>
    <row r="49" spans="1:14" s="10" customFormat="1" ht="15" customHeight="1" x14ac:dyDescent="0.25">
      <c r="A49" s="216"/>
      <c r="B49" s="199"/>
      <c r="C49" s="178"/>
      <c r="D49" s="5" t="s">
        <v>42</v>
      </c>
      <c r="E49" s="5" t="s">
        <v>39</v>
      </c>
      <c r="F49" s="13">
        <v>0</v>
      </c>
      <c r="G49" s="13">
        <v>0</v>
      </c>
      <c r="H49" s="9">
        <v>0</v>
      </c>
      <c r="I49" s="79">
        <f t="shared" si="11"/>
        <v>0</v>
      </c>
      <c r="J49" s="75"/>
    </row>
    <row r="50" spans="1:14" s="10" customFormat="1" ht="24.75" customHeight="1" x14ac:dyDescent="0.25">
      <c r="A50" s="216"/>
      <c r="B50" s="199" t="s">
        <v>5</v>
      </c>
      <c r="C50" s="177" t="s">
        <v>58</v>
      </c>
      <c r="D50" s="5" t="s">
        <v>40</v>
      </c>
      <c r="E50" s="5" t="s">
        <v>58</v>
      </c>
      <c r="F50" s="13">
        <v>258</v>
      </c>
      <c r="G50" s="13">
        <f>271-G51-G52-G53</f>
        <v>260</v>
      </c>
      <c r="H50" s="9">
        <v>-1</v>
      </c>
      <c r="I50" s="79">
        <f>F50-G50-H50</f>
        <v>-1</v>
      </c>
      <c r="J50" s="75">
        <f>SUM(F50:F53)</f>
        <v>272</v>
      </c>
    </row>
    <row r="51" spans="1:14" s="10" customFormat="1" ht="14.25" customHeight="1" x14ac:dyDescent="0.25">
      <c r="A51" s="216"/>
      <c r="B51" s="199"/>
      <c r="C51" s="178"/>
      <c r="D51" s="5" t="s">
        <v>41</v>
      </c>
      <c r="E51" s="5" t="s">
        <v>58</v>
      </c>
      <c r="F51" s="13">
        <v>4</v>
      </c>
      <c r="G51" s="13">
        <v>4</v>
      </c>
      <c r="H51" s="9">
        <f t="shared" ref="H51" si="14">MROUND(F51*5%,1)</f>
        <v>0</v>
      </c>
      <c r="I51" s="79">
        <f t="shared" si="11"/>
        <v>0</v>
      </c>
      <c r="J51" s="75">
        <f>SUM(G50:G53)</f>
        <v>271</v>
      </c>
    </row>
    <row r="52" spans="1:14" s="10" customFormat="1" ht="24.75" customHeight="1" x14ac:dyDescent="0.25">
      <c r="A52" s="216"/>
      <c r="B52" s="199"/>
      <c r="C52" s="177" t="s">
        <v>59</v>
      </c>
      <c r="D52" s="5" t="s">
        <v>42</v>
      </c>
      <c r="E52" s="5" t="s">
        <v>58</v>
      </c>
      <c r="F52" s="13">
        <v>9</v>
      </c>
      <c r="G52" s="13">
        <v>7</v>
      </c>
      <c r="H52" s="9">
        <v>1</v>
      </c>
      <c r="I52" s="79">
        <f t="shared" si="11"/>
        <v>1</v>
      </c>
      <c r="J52" s="76">
        <v>271</v>
      </c>
      <c r="K52" s="47">
        <f>J52+J40+J28+J16</f>
        <v>1070</v>
      </c>
    </row>
    <row r="53" spans="1:14" s="10" customFormat="1" ht="15.75" customHeight="1" x14ac:dyDescent="0.25">
      <c r="A53" s="216"/>
      <c r="B53" s="199"/>
      <c r="C53" s="178"/>
      <c r="D53" s="5" t="s">
        <v>42</v>
      </c>
      <c r="E53" s="5" t="s">
        <v>39</v>
      </c>
      <c r="F53" s="13">
        <v>1</v>
      </c>
      <c r="G53" s="13">
        <v>0</v>
      </c>
      <c r="H53" s="9">
        <v>0</v>
      </c>
      <c r="I53" s="79">
        <f t="shared" si="11"/>
        <v>1</v>
      </c>
      <c r="J53" s="77">
        <f>J56+J52+J48</f>
        <v>547</v>
      </c>
    </row>
    <row r="54" spans="1:14" s="10" customFormat="1" ht="24.75" customHeight="1" x14ac:dyDescent="0.25">
      <c r="A54" s="216"/>
      <c r="B54" s="199" t="s">
        <v>6</v>
      </c>
      <c r="C54" s="177" t="s">
        <v>58</v>
      </c>
      <c r="D54" s="5" t="s">
        <v>40</v>
      </c>
      <c r="E54" s="5" t="s">
        <v>38</v>
      </c>
      <c r="F54" s="13">
        <v>57</v>
      </c>
      <c r="G54" s="2">
        <f>58-G55</f>
        <v>58</v>
      </c>
      <c r="H54" s="9">
        <v>0</v>
      </c>
      <c r="I54" s="79">
        <f>F54-G54-H54</f>
        <v>-1</v>
      </c>
      <c r="J54" s="78">
        <f>F54+F55</f>
        <v>58</v>
      </c>
    </row>
    <row r="55" spans="1:14" s="10" customFormat="1" ht="39.75" customHeight="1" x14ac:dyDescent="0.25">
      <c r="A55" s="216"/>
      <c r="B55" s="199"/>
      <c r="C55" s="178"/>
      <c r="D55" s="5" t="s">
        <v>41</v>
      </c>
      <c r="E55" s="5" t="s">
        <v>38</v>
      </c>
      <c r="F55" s="13">
        <v>1</v>
      </c>
      <c r="G55" s="13">
        <v>0</v>
      </c>
      <c r="H55" s="9">
        <v>0</v>
      </c>
      <c r="I55" s="79">
        <f t="shared" si="11"/>
        <v>1</v>
      </c>
      <c r="J55" s="78">
        <f>G54+G55</f>
        <v>58</v>
      </c>
    </row>
    <row r="56" spans="1:14" s="29" customFormat="1" ht="15.75" customHeight="1" thickBot="1" x14ac:dyDescent="0.3">
      <c r="A56" s="217"/>
      <c r="B56" s="30"/>
      <c r="C56" s="30"/>
      <c r="D56" s="30"/>
      <c r="E56" s="30"/>
      <c r="F56" s="25">
        <f>SUM(F45:F55)</f>
        <v>557</v>
      </c>
      <c r="G56" s="25">
        <f>SUM(G45:G55)</f>
        <v>547</v>
      </c>
      <c r="H56" s="164">
        <f t="shared" ref="H56:I56" si="15">SUM(H45:H55)</f>
        <v>10</v>
      </c>
      <c r="I56" s="25">
        <f t="shared" si="15"/>
        <v>0</v>
      </c>
      <c r="J56" s="76">
        <v>58</v>
      </c>
      <c r="K56" s="47">
        <f>J56+J44+J32+J20</f>
        <v>218</v>
      </c>
    </row>
    <row r="57" spans="1:14" s="29" customFormat="1" ht="17.25" hidden="1" customHeight="1" x14ac:dyDescent="0.25">
      <c r="A57" s="172"/>
      <c r="B57" s="41" t="s">
        <v>13</v>
      </c>
      <c r="C57" s="48"/>
      <c r="D57" s="48"/>
      <c r="E57" s="48"/>
      <c r="F57" s="37">
        <f>F56+F44+F32+F20</f>
        <v>2201</v>
      </c>
      <c r="G57" s="37">
        <f>G56+G44+G32+G20</f>
        <v>2178</v>
      </c>
      <c r="H57" s="165">
        <f>H56+H44+H32+H20</f>
        <v>23</v>
      </c>
      <c r="I57" s="37">
        <f>I56+I44+I32+I20</f>
        <v>0</v>
      </c>
      <c r="J57" s="62">
        <f>J17+J29+J41+J53</f>
        <v>2178</v>
      </c>
      <c r="K57" s="34">
        <f t="shared" ref="K57" si="16">F57-G57</f>
        <v>23</v>
      </c>
      <c r="L57">
        <f>F57*5%</f>
        <v>110.05000000000001</v>
      </c>
    </row>
    <row r="58" spans="1:14" ht="40.5" hidden="1" customHeight="1" x14ac:dyDescent="0.25">
      <c r="B58" s="41" t="s">
        <v>43</v>
      </c>
      <c r="C58" s="206" t="s">
        <v>44</v>
      </c>
      <c r="D58" s="54" t="s">
        <v>40</v>
      </c>
      <c r="E58" s="54" t="s">
        <v>38</v>
      </c>
      <c r="F58" s="55">
        <f t="shared" ref="F58:I59" si="17">F9+F14+F18+F21+F26+F30+F33+F38+F42+F45+F50+F54</f>
        <v>2125</v>
      </c>
      <c r="G58" s="55">
        <f t="shared" si="17"/>
        <v>2110</v>
      </c>
      <c r="H58" s="166">
        <f t="shared" si="17"/>
        <v>21</v>
      </c>
      <c r="I58" s="55">
        <f t="shared" si="17"/>
        <v>-6</v>
      </c>
    </row>
    <row r="59" spans="1:14" ht="17.25" hidden="1" customHeight="1" x14ac:dyDescent="0.25">
      <c r="C59" s="207"/>
      <c r="D59" s="54" t="s">
        <v>41</v>
      </c>
      <c r="E59" s="54" t="s">
        <v>38</v>
      </c>
      <c r="F59" s="55">
        <f t="shared" si="17"/>
        <v>13</v>
      </c>
      <c r="G59" s="55">
        <f t="shared" si="17"/>
        <v>18</v>
      </c>
      <c r="H59" s="166">
        <f t="shared" si="17"/>
        <v>-1</v>
      </c>
      <c r="I59" s="55">
        <f t="shared" si="17"/>
        <v>-4</v>
      </c>
      <c r="J59" s="49"/>
    </row>
    <row r="60" spans="1:14" ht="17.25" hidden="1" customHeight="1" x14ac:dyDescent="0.25">
      <c r="A60" s="173"/>
      <c r="B60" s="41"/>
      <c r="C60" s="206" t="s">
        <v>45</v>
      </c>
      <c r="D60" s="54" t="s">
        <v>42</v>
      </c>
      <c r="E60" s="54" t="s">
        <v>38</v>
      </c>
      <c r="F60" s="33">
        <f t="shared" ref="F60:I61" si="18">F12+F16+F24+F28+F36+F40+F48+F52</f>
        <v>41</v>
      </c>
      <c r="G60" s="33">
        <f t="shared" si="18"/>
        <v>33</v>
      </c>
      <c r="H60" s="32">
        <f t="shared" si="18"/>
        <v>3</v>
      </c>
      <c r="I60" s="33">
        <f t="shared" si="18"/>
        <v>5</v>
      </c>
      <c r="J60" s="62"/>
    </row>
    <row r="61" spans="1:14" ht="17.25" hidden="1" customHeight="1" thickBot="1" x14ac:dyDescent="0.3">
      <c r="A61" s="174"/>
      <c r="B61" s="51"/>
      <c r="C61" s="208"/>
      <c r="D61" s="27" t="s">
        <v>42</v>
      </c>
      <c r="E61" s="27" t="s">
        <v>39</v>
      </c>
      <c r="F61" s="53">
        <f t="shared" si="18"/>
        <v>17</v>
      </c>
      <c r="G61" s="53">
        <f t="shared" si="18"/>
        <v>10</v>
      </c>
      <c r="H61" s="118">
        <f t="shared" si="18"/>
        <v>0</v>
      </c>
      <c r="I61" s="53">
        <f t="shared" si="18"/>
        <v>7</v>
      </c>
      <c r="J61" s="63"/>
    </row>
    <row r="62" spans="1:14" ht="17.25" hidden="1" customHeight="1" x14ac:dyDescent="0.25">
      <c r="A62" s="167">
        <f>A7</f>
        <v>1</v>
      </c>
      <c r="B62" s="50">
        <f>B7</f>
        <v>2</v>
      </c>
      <c r="C62" s="50">
        <f>C7</f>
        <v>3</v>
      </c>
      <c r="D62" s="50"/>
      <c r="E62" s="50"/>
      <c r="F62" s="50">
        <f>F7</f>
        <v>6</v>
      </c>
      <c r="G62" s="66">
        <f>G7</f>
        <v>7</v>
      </c>
      <c r="H62" s="167">
        <f>H7</f>
        <v>8</v>
      </c>
      <c r="I62" s="50">
        <f>I7</f>
        <v>9</v>
      </c>
      <c r="J62" s="50"/>
    </row>
    <row r="63" spans="1:14" ht="17.25" customHeight="1" x14ac:dyDescent="0.25">
      <c r="A63" s="187" t="s">
        <v>57</v>
      </c>
      <c r="B63" s="188"/>
      <c r="C63" s="188"/>
      <c r="D63" s="188"/>
      <c r="E63" s="188"/>
      <c r="F63" s="188"/>
      <c r="G63" s="188"/>
      <c r="H63" s="188"/>
      <c r="I63" s="189"/>
      <c r="J63" s="50"/>
    </row>
    <row r="64" spans="1:14" ht="17.25" customHeight="1" x14ac:dyDescent="0.25">
      <c r="A64" s="179" t="s">
        <v>12</v>
      </c>
      <c r="B64" s="182" t="s">
        <v>14</v>
      </c>
      <c r="C64" s="23" t="s">
        <v>7</v>
      </c>
      <c r="D64" s="23"/>
      <c r="E64" s="23"/>
      <c r="F64" s="37">
        <f>SUM(F65:F67)</f>
        <v>457</v>
      </c>
      <c r="G64" s="37">
        <f>SUM(G65:G67)</f>
        <v>431</v>
      </c>
      <c r="H64" s="165">
        <f>SUM(H65:H67)</f>
        <v>23</v>
      </c>
      <c r="I64" s="38">
        <f>SUM(I65:I67)</f>
        <v>3</v>
      </c>
      <c r="J64" s="38"/>
      <c r="K64" s="34">
        <f>F64-G64</f>
        <v>26</v>
      </c>
      <c r="L64">
        <f t="shared" ref="L64:L67" si="19">F64*5%</f>
        <v>22.85</v>
      </c>
      <c r="N64" s="130">
        <f>'расчет ум субс'!R10</f>
        <v>338492.99296746298</v>
      </c>
    </row>
    <row r="65" spans="1:12" ht="39" customHeight="1" x14ac:dyDescent="0.25">
      <c r="A65" s="210"/>
      <c r="B65" s="183"/>
      <c r="C65" s="3" t="s">
        <v>41</v>
      </c>
      <c r="D65" s="3" t="s">
        <v>58</v>
      </c>
      <c r="E65" s="35" t="s">
        <v>46</v>
      </c>
      <c r="F65" s="7">
        <v>5</v>
      </c>
      <c r="G65" s="7">
        <v>4</v>
      </c>
      <c r="H65" s="9">
        <v>1</v>
      </c>
      <c r="I65" s="152">
        <v>0</v>
      </c>
      <c r="J65" s="14"/>
      <c r="K65" s="34">
        <f t="shared" ref="K65:K70" si="20">F65-G65</f>
        <v>1</v>
      </c>
      <c r="L65">
        <f t="shared" si="19"/>
        <v>0.25</v>
      </c>
    </row>
    <row r="66" spans="1:12" ht="39.75" customHeight="1" x14ac:dyDescent="0.25">
      <c r="A66" s="210"/>
      <c r="B66" s="183"/>
      <c r="C66" s="3" t="s">
        <v>60</v>
      </c>
      <c r="D66" s="3" t="s">
        <v>58</v>
      </c>
      <c r="E66" s="35" t="s">
        <v>46</v>
      </c>
      <c r="F66" s="7">
        <v>0</v>
      </c>
      <c r="G66" s="7">
        <v>0</v>
      </c>
      <c r="H66" s="9">
        <f>F66-G66</f>
        <v>0</v>
      </c>
      <c r="I66" s="14">
        <f>F66-G66-H66</f>
        <v>0</v>
      </c>
      <c r="J66" s="14"/>
      <c r="K66" s="34">
        <f t="shared" si="20"/>
        <v>0</v>
      </c>
      <c r="L66">
        <f t="shared" si="19"/>
        <v>0</v>
      </c>
    </row>
    <row r="67" spans="1:12" ht="36.75" customHeight="1" x14ac:dyDescent="0.25">
      <c r="A67" s="210"/>
      <c r="B67" s="184"/>
      <c r="C67" s="4" t="s">
        <v>61</v>
      </c>
      <c r="D67" s="3" t="s">
        <v>58</v>
      </c>
      <c r="E67" s="35" t="s">
        <v>46</v>
      </c>
      <c r="F67" s="12">
        <f>453-1</f>
        <v>452</v>
      </c>
      <c r="G67" s="12">
        <v>427</v>
      </c>
      <c r="H67" s="9">
        <v>22</v>
      </c>
      <c r="I67" s="15">
        <f>F67-G67-H67</f>
        <v>3</v>
      </c>
      <c r="J67" s="15"/>
      <c r="K67" s="34">
        <f t="shared" si="20"/>
        <v>25</v>
      </c>
      <c r="L67">
        <f t="shared" si="19"/>
        <v>22.6</v>
      </c>
    </row>
    <row r="68" spans="1:12" ht="17.25" customHeight="1" x14ac:dyDescent="0.25">
      <c r="A68" s="210"/>
      <c r="B68" s="185" t="s">
        <v>15</v>
      </c>
      <c r="C68" s="2" t="s">
        <v>7</v>
      </c>
      <c r="D68" s="2"/>
      <c r="E68" s="2"/>
      <c r="F68" s="32">
        <f>SUM(F69:F70)</f>
        <v>457</v>
      </c>
      <c r="G68" s="32">
        <f>SUM(G69:G70)</f>
        <v>431</v>
      </c>
      <c r="H68" s="32">
        <f>SUM(H69:H70)</f>
        <v>22.85</v>
      </c>
      <c r="I68" s="33">
        <f>SUM(I69:I70)</f>
        <v>3.1499999999999986</v>
      </c>
      <c r="J68" s="33"/>
      <c r="K68" s="34">
        <f t="shared" si="20"/>
        <v>26</v>
      </c>
    </row>
    <row r="69" spans="1:12" ht="15.75" customHeight="1" x14ac:dyDescent="0.25">
      <c r="A69" s="210"/>
      <c r="B69" s="185"/>
      <c r="C69" s="35" t="s">
        <v>16</v>
      </c>
      <c r="D69" s="35" t="s">
        <v>46</v>
      </c>
      <c r="E69" s="5" t="s">
        <v>38</v>
      </c>
      <c r="F69" s="9">
        <f>60</f>
        <v>60</v>
      </c>
      <c r="G69" s="9">
        <v>57</v>
      </c>
      <c r="H69" s="9">
        <v>3</v>
      </c>
      <c r="I69" s="9">
        <f>F69-G69-H69</f>
        <v>0</v>
      </c>
      <c r="J69" s="9"/>
      <c r="K69" s="34">
        <f t="shared" si="20"/>
        <v>3</v>
      </c>
      <c r="L69">
        <f>F69*5%</f>
        <v>3</v>
      </c>
    </row>
    <row r="70" spans="1:12" ht="18" customHeight="1" thickBot="1" x14ac:dyDescent="0.3">
      <c r="A70" s="211"/>
      <c r="B70" s="186"/>
      <c r="C70" s="8" t="s">
        <v>17</v>
      </c>
      <c r="D70" s="8" t="s">
        <v>46</v>
      </c>
      <c r="E70" s="52" t="s">
        <v>38</v>
      </c>
      <c r="F70" s="11">
        <f>398-1</f>
        <v>397</v>
      </c>
      <c r="G70" s="11">
        <v>374</v>
      </c>
      <c r="H70" s="11">
        <f>F70*5%</f>
        <v>19.850000000000001</v>
      </c>
      <c r="I70" s="11">
        <f>F70-G70-H70</f>
        <v>3.1499999999999986</v>
      </c>
      <c r="J70" s="11"/>
      <c r="K70" s="34">
        <f t="shared" si="20"/>
        <v>23</v>
      </c>
      <c r="L70">
        <f>F70*5%</f>
        <v>19.850000000000001</v>
      </c>
    </row>
    <row r="71" spans="1:12" s="18" customFormat="1" ht="15" customHeight="1" x14ac:dyDescent="0.25">
      <c r="A71" s="195" t="s">
        <v>18</v>
      </c>
      <c r="B71" s="197" t="s">
        <v>13</v>
      </c>
      <c r="C71" s="197"/>
      <c r="D71" s="42"/>
      <c r="E71" s="42"/>
      <c r="F71" s="46"/>
      <c r="G71" s="46"/>
      <c r="H71" s="17"/>
      <c r="I71" s="17"/>
      <c r="J71" s="17"/>
    </row>
    <row r="72" spans="1:12" s="22" customFormat="1" x14ac:dyDescent="0.25">
      <c r="A72" s="191"/>
      <c r="B72" s="176" t="s">
        <v>14</v>
      </c>
      <c r="C72" s="23" t="s">
        <v>7</v>
      </c>
      <c r="D72" s="31"/>
      <c r="E72" s="31"/>
      <c r="F72" s="32">
        <f>SUM(F73:F75)</f>
        <v>160</v>
      </c>
      <c r="G72" s="32">
        <f>SUM(G73:G75)</f>
        <v>150</v>
      </c>
      <c r="H72" s="32">
        <f>SUM(H73:H75)</f>
        <v>8</v>
      </c>
      <c r="I72" s="32">
        <f>SUM(I73:I75)</f>
        <v>2</v>
      </c>
      <c r="J72" s="32"/>
      <c r="K72" s="34">
        <f>F72-G72</f>
        <v>10</v>
      </c>
      <c r="L72">
        <f t="shared" ref="L72:L75" si="21">F72*5%</f>
        <v>8</v>
      </c>
    </row>
    <row r="73" spans="1:12" s="18" customFormat="1" ht="39" x14ac:dyDescent="0.25">
      <c r="A73" s="191"/>
      <c r="B73" s="176"/>
      <c r="C73" s="3" t="s">
        <v>41</v>
      </c>
      <c r="D73" s="3" t="s">
        <v>58</v>
      </c>
      <c r="E73" s="35" t="s">
        <v>46</v>
      </c>
      <c r="F73" s="9">
        <v>1</v>
      </c>
      <c r="G73" s="9">
        <v>2</v>
      </c>
      <c r="H73" s="9">
        <f>MROUND(F73*5%,1)</f>
        <v>0</v>
      </c>
      <c r="I73" s="21">
        <f>F73-G73-H73</f>
        <v>-1</v>
      </c>
      <c r="J73" s="9"/>
      <c r="K73" s="34">
        <f t="shared" ref="K73:K78" si="22">F73-G73</f>
        <v>-1</v>
      </c>
      <c r="L73">
        <f t="shared" si="21"/>
        <v>0.05</v>
      </c>
    </row>
    <row r="74" spans="1:12" s="18" customFormat="1" ht="37.5" customHeight="1" x14ac:dyDescent="0.25">
      <c r="A74" s="191"/>
      <c r="B74" s="176"/>
      <c r="C74" s="3" t="s">
        <v>60</v>
      </c>
      <c r="D74" s="3" t="s">
        <v>58</v>
      </c>
      <c r="E74" s="35" t="s">
        <v>46</v>
      </c>
      <c r="F74" s="9">
        <v>2</v>
      </c>
      <c r="G74" s="9">
        <v>1</v>
      </c>
      <c r="H74" s="9">
        <f t="shared" ref="H74" si="23">MROUND(F74*5%,1)</f>
        <v>0</v>
      </c>
      <c r="I74" s="9">
        <f>F74-G74-H74</f>
        <v>1</v>
      </c>
      <c r="J74" s="9"/>
      <c r="K74" s="34">
        <f t="shared" si="22"/>
        <v>1</v>
      </c>
      <c r="L74">
        <f t="shared" si="21"/>
        <v>0.1</v>
      </c>
    </row>
    <row r="75" spans="1:12" s="18" customFormat="1" ht="36.75" customHeight="1" x14ac:dyDescent="0.25">
      <c r="A75" s="191"/>
      <c r="B75" s="179"/>
      <c r="C75" s="4" t="s">
        <v>61</v>
      </c>
      <c r="D75" s="3" t="s">
        <v>58</v>
      </c>
      <c r="E75" s="35" t="s">
        <v>46</v>
      </c>
      <c r="F75" s="21">
        <v>157</v>
      </c>
      <c r="G75" s="21">
        <v>147</v>
      </c>
      <c r="H75" s="9">
        <v>8</v>
      </c>
      <c r="I75" s="9">
        <f>F75-G75-H75</f>
        <v>2</v>
      </c>
      <c r="J75" s="21"/>
      <c r="K75" s="34">
        <f t="shared" si="22"/>
        <v>10</v>
      </c>
      <c r="L75">
        <f t="shared" si="21"/>
        <v>7.8500000000000005</v>
      </c>
    </row>
    <row r="76" spans="1:12" s="22" customFormat="1" ht="15.75" customHeight="1" x14ac:dyDescent="0.25">
      <c r="A76" s="191"/>
      <c r="B76" s="180" t="s">
        <v>15</v>
      </c>
      <c r="C76" s="2" t="s">
        <v>7</v>
      </c>
      <c r="D76" s="2"/>
      <c r="E76" s="2"/>
      <c r="F76" s="32">
        <f>SUM(F77:F78)</f>
        <v>160</v>
      </c>
      <c r="G76" s="32">
        <f>SUM(G77:G78)</f>
        <v>150</v>
      </c>
      <c r="H76" s="32">
        <f>SUM(H77:H78)</f>
        <v>8</v>
      </c>
      <c r="I76" s="32">
        <f>SUM(I77:I78)</f>
        <v>2</v>
      </c>
      <c r="J76" s="32"/>
      <c r="K76" s="34">
        <f>F76-G76</f>
        <v>10</v>
      </c>
      <c r="L76">
        <f>F76*5%</f>
        <v>8</v>
      </c>
    </row>
    <row r="77" spans="1:12" s="18" customFormat="1" ht="15.75" customHeight="1" x14ac:dyDescent="0.25">
      <c r="A77" s="191"/>
      <c r="B77" s="180"/>
      <c r="C77" s="35" t="s">
        <v>16</v>
      </c>
      <c r="D77" s="35" t="s">
        <v>46</v>
      </c>
      <c r="E77" s="5" t="s">
        <v>38</v>
      </c>
      <c r="F77" s="9">
        <v>30</v>
      </c>
      <c r="G77" s="9">
        <v>29</v>
      </c>
      <c r="H77" s="9">
        <v>1</v>
      </c>
      <c r="I77" s="21">
        <f>F77-G77-H77</f>
        <v>0</v>
      </c>
      <c r="J77" s="9"/>
      <c r="K77" s="34">
        <f t="shared" si="22"/>
        <v>1</v>
      </c>
      <c r="L77">
        <f>F77*5%</f>
        <v>1.5</v>
      </c>
    </row>
    <row r="78" spans="1:12" s="18" customFormat="1" ht="15.75" customHeight="1" thickBot="1" x14ac:dyDescent="0.3">
      <c r="A78" s="196"/>
      <c r="B78" s="181"/>
      <c r="C78" s="8" t="s">
        <v>17</v>
      </c>
      <c r="D78" s="8" t="s">
        <v>46</v>
      </c>
      <c r="E78" s="52" t="s">
        <v>38</v>
      </c>
      <c r="F78" s="21">
        <v>130</v>
      </c>
      <c r="G78" s="21">
        <v>121</v>
      </c>
      <c r="H78" s="11">
        <f t="shared" ref="H78" si="24">MROUND(F78*5%,1)</f>
        <v>7</v>
      </c>
      <c r="I78" s="21">
        <f>F78-G78-H78</f>
        <v>2</v>
      </c>
      <c r="J78" s="21"/>
      <c r="K78" s="34">
        <f t="shared" si="22"/>
        <v>9</v>
      </c>
      <c r="L78">
        <f>F78*5%</f>
        <v>6.5</v>
      </c>
    </row>
    <row r="79" spans="1:12" s="22" customFormat="1" ht="15" customHeight="1" x14ac:dyDescent="0.25">
      <c r="A79" s="190" t="s">
        <v>19</v>
      </c>
      <c r="B79" s="193" t="s">
        <v>13</v>
      </c>
      <c r="C79" s="193"/>
      <c r="D79" s="58"/>
      <c r="E79" s="58"/>
      <c r="F79" s="59"/>
      <c r="G79" s="59"/>
      <c r="H79" s="36"/>
      <c r="I79" s="36"/>
      <c r="J79" s="36"/>
    </row>
    <row r="80" spans="1:12" s="22" customFormat="1" x14ac:dyDescent="0.25">
      <c r="A80" s="191"/>
      <c r="B80" s="176" t="s">
        <v>14</v>
      </c>
      <c r="C80" s="23" t="s">
        <v>7</v>
      </c>
      <c r="D80" s="31"/>
      <c r="E80" s="31"/>
      <c r="F80" s="32">
        <f>SUM(F81:F83)</f>
        <v>193</v>
      </c>
      <c r="G80" s="32">
        <f>SUM(G81:G83)</f>
        <v>179</v>
      </c>
      <c r="H80" s="32">
        <f>SUM(H81:H83)</f>
        <v>10</v>
      </c>
      <c r="I80" s="32">
        <f>SUM(I81:I83)</f>
        <v>4</v>
      </c>
      <c r="J80" s="32"/>
      <c r="K80" s="34">
        <f>F80-G80</f>
        <v>14</v>
      </c>
      <c r="L80">
        <f t="shared" ref="L80:L83" si="25">F80*5%</f>
        <v>9.65</v>
      </c>
    </row>
    <row r="81" spans="1:14" s="18" customFormat="1" ht="39" x14ac:dyDescent="0.25">
      <c r="A81" s="191"/>
      <c r="B81" s="176"/>
      <c r="C81" s="3" t="s">
        <v>41</v>
      </c>
      <c r="D81" s="3" t="s">
        <v>58</v>
      </c>
      <c r="E81" s="35" t="s">
        <v>46</v>
      </c>
      <c r="F81" s="9">
        <v>0</v>
      </c>
      <c r="G81" s="9">
        <v>0</v>
      </c>
      <c r="H81" s="9">
        <f>MROUND(F81*5%,1)</f>
        <v>0</v>
      </c>
      <c r="I81" s="32">
        <f>F81-G81-H81</f>
        <v>0</v>
      </c>
      <c r="J81" s="32"/>
      <c r="K81" s="34">
        <f t="shared" ref="K81:K86" si="26">F81-G81</f>
        <v>0</v>
      </c>
      <c r="L81">
        <f t="shared" si="25"/>
        <v>0</v>
      </c>
    </row>
    <row r="82" spans="1:14" s="18" customFormat="1" ht="36.75" customHeight="1" x14ac:dyDescent="0.25">
      <c r="A82" s="191"/>
      <c r="B82" s="176"/>
      <c r="C82" s="3" t="s">
        <v>60</v>
      </c>
      <c r="D82" s="3" t="s">
        <v>58</v>
      </c>
      <c r="E82" s="35" t="s">
        <v>46</v>
      </c>
      <c r="F82" s="9">
        <v>1</v>
      </c>
      <c r="G82" s="9">
        <v>1</v>
      </c>
      <c r="H82" s="9">
        <f t="shared" ref="H82" si="27">MROUND(F82*5%,1)</f>
        <v>0</v>
      </c>
      <c r="I82" s="60">
        <v>0</v>
      </c>
      <c r="J82" s="60"/>
      <c r="K82" s="34">
        <f t="shared" si="26"/>
        <v>0</v>
      </c>
      <c r="L82">
        <f t="shared" si="25"/>
        <v>0.05</v>
      </c>
    </row>
    <row r="83" spans="1:14" s="18" customFormat="1" ht="37.5" customHeight="1" x14ac:dyDescent="0.25">
      <c r="A83" s="191"/>
      <c r="B83" s="176"/>
      <c r="C83" s="4" t="s">
        <v>61</v>
      </c>
      <c r="D83" s="3" t="s">
        <v>58</v>
      </c>
      <c r="E83" s="35" t="s">
        <v>46</v>
      </c>
      <c r="F83" s="9">
        <v>192</v>
      </c>
      <c r="G83" s="9">
        <v>178</v>
      </c>
      <c r="H83" s="9">
        <f>MROUND(F83*5%,1)</f>
        <v>10</v>
      </c>
      <c r="I83" s="32">
        <f>F83-G83-H83</f>
        <v>4</v>
      </c>
      <c r="J83" s="60"/>
      <c r="K83" s="34">
        <f t="shared" si="26"/>
        <v>14</v>
      </c>
      <c r="L83">
        <f t="shared" si="25"/>
        <v>9.6000000000000014</v>
      </c>
    </row>
    <row r="84" spans="1:14" s="22" customFormat="1" ht="14.25" customHeight="1" x14ac:dyDescent="0.25">
      <c r="A84" s="191"/>
      <c r="B84" s="176" t="s">
        <v>15</v>
      </c>
      <c r="C84" s="2" t="s">
        <v>7</v>
      </c>
      <c r="D84" s="2"/>
      <c r="E84" s="2"/>
      <c r="F84" s="32">
        <f>SUM(F85:F86)</f>
        <v>193</v>
      </c>
      <c r="G84" s="32">
        <f>SUM(G85:G86)</f>
        <v>179</v>
      </c>
      <c r="H84" s="32">
        <f>SUM(H85:H86)</f>
        <v>9</v>
      </c>
      <c r="I84" s="32">
        <f>SUM(I85:I86)</f>
        <v>5</v>
      </c>
      <c r="J84" s="32"/>
      <c r="K84" s="34">
        <f t="shared" si="26"/>
        <v>14</v>
      </c>
      <c r="L84">
        <f>F84*5%</f>
        <v>9.65</v>
      </c>
    </row>
    <row r="85" spans="1:14" s="18" customFormat="1" ht="14.25" customHeight="1" x14ac:dyDescent="0.25">
      <c r="A85" s="191"/>
      <c r="B85" s="176"/>
      <c r="C85" s="35" t="s">
        <v>16</v>
      </c>
      <c r="D85" s="35" t="s">
        <v>46</v>
      </c>
      <c r="E85" s="5" t="s">
        <v>38</v>
      </c>
      <c r="F85" s="9">
        <v>33</v>
      </c>
      <c r="G85" s="9">
        <v>32</v>
      </c>
      <c r="H85" s="9">
        <v>1</v>
      </c>
      <c r="I85" s="32">
        <f>F85-G85-H85</f>
        <v>0</v>
      </c>
      <c r="J85" s="60"/>
      <c r="K85" s="34">
        <f t="shared" si="26"/>
        <v>1</v>
      </c>
      <c r="L85">
        <f>F85*5%</f>
        <v>1.6500000000000001</v>
      </c>
      <c r="N85" s="130">
        <f>'расчет ум субс'!R26</f>
        <v>791630.00702639599</v>
      </c>
    </row>
    <row r="86" spans="1:14" s="18" customFormat="1" ht="19.5" customHeight="1" thickBot="1" x14ac:dyDescent="0.3">
      <c r="A86" s="192"/>
      <c r="B86" s="194"/>
      <c r="C86" s="8" t="s">
        <v>17</v>
      </c>
      <c r="D86" s="8" t="s">
        <v>46</v>
      </c>
      <c r="E86" s="52" t="s">
        <v>38</v>
      </c>
      <c r="F86" s="11">
        <v>160</v>
      </c>
      <c r="G86" s="11">
        <v>147</v>
      </c>
      <c r="H86" s="11">
        <f>MROUND(F86*5%,1)</f>
        <v>8</v>
      </c>
      <c r="I86" s="118">
        <f>F86-G86-H86</f>
        <v>5</v>
      </c>
      <c r="J86" s="61"/>
      <c r="K86" s="34">
        <f t="shared" si="26"/>
        <v>13</v>
      </c>
      <c r="L86">
        <f>F86*5%</f>
        <v>8</v>
      </c>
    </row>
    <row r="87" spans="1:14" s="18" customFormat="1" ht="13.5" customHeight="1" x14ac:dyDescent="0.25">
      <c r="A87" s="187" t="s">
        <v>66</v>
      </c>
      <c r="B87" s="188"/>
      <c r="C87" s="188"/>
      <c r="D87" s="188"/>
      <c r="E87" s="188"/>
      <c r="F87" s="188"/>
      <c r="G87" s="188"/>
      <c r="H87" s="188"/>
      <c r="I87" s="189"/>
      <c r="J87" s="74"/>
    </row>
    <row r="88" spans="1:14" ht="25.5" customHeight="1" x14ac:dyDescent="0.25">
      <c r="A88" s="176" t="s">
        <v>27</v>
      </c>
      <c r="B88" s="86" t="s">
        <v>20</v>
      </c>
      <c r="C88" s="96"/>
      <c r="D88" s="96"/>
      <c r="E88" s="70"/>
      <c r="F88" s="57">
        <f>SUM(F89:F94)</f>
        <v>98236</v>
      </c>
      <c r="G88" s="57">
        <f>SUM(G89:G94)</f>
        <v>93324</v>
      </c>
      <c r="H88" s="168">
        <f>SUM(H89:H94)</f>
        <v>4912</v>
      </c>
      <c r="I88" s="57">
        <f>SUM(I89:I94)</f>
        <v>0</v>
      </c>
      <c r="J88" s="131"/>
      <c r="K88" s="104">
        <f>F88*5%</f>
        <v>4911.8</v>
      </c>
      <c r="L88" s="103">
        <f>F88-G88</f>
        <v>4912</v>
      </c>
      <c r="M88" s="34">
        <f>F88-G88</f>
        <v>4912</v>
      </c>
      <c r="N88" s="34">
        <f>H88-M88</f>
        <v>0</v>
      </c>
    </row>
    <row r="89" spans="1:14" s="18" customFormat="1" ht="25.5" customHeight="1" x14ac:dyDescent="0.25">
      <c r="A89" s="176"/>
      <c r="B89" s="20" t="s">
        <v>21</v>
      </c>
      <c r="C89" s="20"/>
      <c r="D89" s="20"/>
      <c r="E89" s="20"/>
      <c r="F89" s="56">
        <v>40438</v>
      </c>
      <c r="G89" s="56">
        <v>38416</v>
      </c>
      <c r="H89" s="9">
        <f t="shared" ref="H89:H94" si="28">MROUND(F89*5%,1)</f>
        <v>2022</v>
      </c>
      <c r="I89" s="21">
        <f>F89-G89-H89</f>
        <v>0</v>
      </c>
      <c r="J89" s="9"/>
      <c r="K89" s="104">
        <f>F89*5%</f>
        <v>2021.9</v>
      </c>
      <c r="L89" s="103">
        <f t="shared" ref="L89:L93" si="29">F89-G89</f>
        <v>2022</v>
      </c>
    </row>
    <row r="90" spans="1:14" s="18" customFormat="1" ht="25.5" customHeight="1" x14ac:dyDescent="0.25">
      <c r="A90" s="176"/>
      <c r="B90" s="20" t="s">
        <v>22</v>
      </c>
      <c r="C90" s="20"/>
      <c r="D90" s="20"/>
      <c r="E90" s="20"/>
      <c r="F90" s="56"/>
      <c r="G90" s="56"/>
      <c r="H90" s="9">
        <f t="shared" si="28"/>
        <v>0</v>
      </c>
      <c r="I90" s="21">
        <f t="shared" ref="I90" si="30">F90-G90-H90</f>
        <v>0</v>
      </c>
      <c r="J90" s="9"/>
      <c r="K90" s="104">
        <f t="shared" ref="K90:K93" si="31">F90*5%</f>
        <v>0</v>
      </c>
      <c r="L90" s="103">
        <f t="shared" si="29"/>
        <v>0</v>
      </c>
    </row>
    <row r="91" spans="1:14" s="18" customFormat="1" ht="15.75" customHeight="1" x14ac:dyDescent="0.25">
      <c r="A91" s="176"/>
      <c r="B91" s="20" t="s">
        <v>23</v>
      </c>
      <c r="C91" s="20"/>
      <c r="D91" s="20"/>
      <c r="E91" s="20"/>
      <c r="F91" s="56">
        <v>0</v>
      </c>
      <c r="G91" s="56">
        <v>0</v>
      </c>
      <c r="H91" s="9">
        <f t="shared" si="28"/>
        <v>0</v>
      </c>
      <c r="I91" s="21">
        <f>F91-G91-H91</f>
        <v>0</v>
      </c>
      <c r="J91" s="9"/>
      <c r="K91" s="104">
        <f t="shared" si="31"/>
        <v>0</v>
      </c>
      <c r="L91" s="103">
        <f t="shared" si="29"/>
        <v>0</v>
      </c>
    </row>
    <row r="92" spans="1:14" s="18" customFormat="1" ht="25.5" customHeight="1" x14ac:dyDescent="0.25">
      <c r="A92" s="176"/>
      <c r="B92" s="20" t="s">
        <v>71</v>
      </c>
      <c r="C92" s="20"/>
      <c r="D92" s="20"/>
      <c r="E92" s="20"/>
      <c r="F92" s="56">
        <v>4232</v>
      </c>
      <c r="G92" s="56">
        <v>4020</v>
      </c>
      <c r="H92" s="9">
        <f t="shared" si="28"/>
        <v>212</v>
      </c>
      <c r="I92" s="21">
        <f t="shared" ref="I92:I94" si="32">F92-G92-H92</f>
        <v>0</v>
      </c>
      <c r="J92" s="9"/>
      <c r="K92" s="104">
        <f t="shared" si="31"/>
        <v>211.60000000000002</v>
      </c>
      <c r="L92" s="103">
        <f>F92-G92</f>
        <v>212</v>
      </c>
    </row>
    <row r="93" spans="1:14" s="18" customFormat="1" ht="26.25" customHeight="1" x14ac:dyDescent="0.25">
      <c r="A93" s="176"/>
      <c r="B93" s="20" t="s">
        <v>25</v>
      </c>
      <c r="C93" s="20"/>
      <c r="D93" s="20"/>
      <c r="E93" s="20"/>
      <c r="F93" s="56">
        <v>14366</v>
      </c>
      <c r="G93" s="56">
        <v>13648</v>
      </c>
      <c r="H93" s="9">
        <f t="shared" si="28"/>
        <v>718</v>
      </c>
      <c r="I93" s="21">
        <f t="shared" si="32"/>
        <v>0</v>
      </c>
      <c r="J93" s="9"/>
      <c r="K93" s="104">
        <f t="shared" si="31"/>
        <v>718.30000000000007</v>
      </c>
      <c r="L93" s="103">
        <f t="shared" si="29"/>
        <v>718</v>
      </c>
    </row>
    <row r="94" spans="1:14" s="18" customFormat="1" ht="26.25" customHeight="1" x14ac:dyDescent="0.25">
      <c r="A94" s="176"/>
      <c r="B94" s="20" t="s">
        <v>26</v>
      </c>
      <c r="C94" s="20"/>
      <c r="D94" s="20"/>
      <c r="E94" s="20"/>
      <c r="F94" s="56">
        <v>39200</v>
      </c>
      <c r="G94" s="56">
        <v>37240</v>
      </c>
      <c r="H94" s="9">
        <f t="shared" si="28"/>
        <v>1960</v>
      </c>
      <c r="I94" s="21">
        <f t="shared" si="32"/>
        <v>0</v>
      </c>
      <c r="J94" s="21"/>
      <c r="K94" s="104">
        <f>F94*5%</f>
        <v>1960</v>
      </c>
      <c r="L94" s="103">
        <f>F94-G94</f>
        <v>1960</v>
      </c>
    </row>
    <row r="95" spans="1:14" s="18" customFormat="1" ht="51" hidden="1" customHeight="1" x14ac:dyDescent="0.25">
      <c r="A95" s="176"/>
      <c r="B95" s="86" t="s">
        <v>62</v>
      </c>
      <c r="C95" s="20"/>
      <c r="D95" s="20"/>
      <c r="E95" s="20"/>
      <c r="F95" s="129">
        <f>SUM(F96:F101)</f>
        <v>32960</v>
      </c>
      <c r="G95" s="97">
        <f>SUM(G96:G101)</f>
        <v>16224</v>
      </c>
      <c r="H95" s="169" t="s">
        <v>68</v>
      </c>
      <c r="I95" s="97">
        <f>SUM(I96:I101)</f>
        <v>16736</v>
      </c>
      <c r="J95" s="9"/>
    </row>
    <row r="96" spans="1:14" s="18" customFormat="1" ht="24" hidden="1" customHeight="1" x14ac:dyDescent="0.25">
      <c r="A96" s="176"/>
      <c r="B96" s="20" t="s">
        <v>21</v>
      </c>
      <c r="C96" s="20"/>
      <c r="D96" s="20"/>
      <c r="E96" s="20"/>
      <c r="F96" s="56">
        <v>5440</v>
      </c>
      <c r="G96" s="56">
        <v>2048</v>
      </c>
      <c r="H96" s="105" t="s">
        <v>68</v>
      </c>
      <c r="I96" s="9">
        <f>F96-G96</f>
        <v>3392</v>
      </c>
      <c r="J96" s="9"/>
    </row>
    <row r="97" spans="1:14" s="18" customFormat="1" ht="26.25" hidden="1" customHeight="1" x14ac:dyDescent="0.25">
      <c r="A97" s="176"/>
      <c r="B97" s="20" t="s">
        <v>22</v>
      </c>
      <c r="C97" s="20"/>
      <c r="D97" s="20"/>
      <c r="E97" s="20"/>
      <c r="F97" s="56"/>
      <c r="G97" s="56"/>
      <c r="H97" s="105" t="s">
        <v>68</v>
      </c>
      <c r="I97" s="9">
        <f t="shared" ref="I97:I101" si="33">F97-G97</f>
        <v>0</v>
      </c>
      <c r="J97" s="9"/>
    </row>
    <row r="98" spans="1:14" s="18" customFormat="1" ht="14.25" hidden="1" customHeight="1" x14ac:dyDescent="0.25">
      <c r="A98" s="176"/>
      <c r="B98" s="20" t="s">
        <v>23</v>
      </c>
      <c r="C98" s="20"/>
      <c r="D98" s="20"/>
      <c r="E98" s="20"/>
      <c r="F98" s="56">
        <v>4160</v>
      </c>
      <c r="G98" s="56">
        <v>2816</v>
      </c>
      <c r="H98" s="105" t="s">
        <v>68</v>
      </c>
      <c r="I98" s="9">
        <f t="shared" si="33"/>
        <v>1344</v>
      </c>
      <c r="J98" s="9"/>
    </row>
    <row r="99" spans="1:14" s="18" customFormat="1" ht="26.25" hidden="1" customHeight="1" x14ac:dyDescent="0.25">
      <c r="A99" s="176"/>
      <c r="B99" s="20" t="s">
        <v>24</v>
      </c>
      <c r="C99" s="20"/>
      <c r="D99" s="20"/>
      <c r="E99" s="20"/>
      <c r="F99" s="56">
        <v>5440</v>
      </c>
      <c r="G99" s="56">
        <v>2080</v>
      </c>
      <c r="H99" s="105" t="s">
        <v>68</v>
      </c>
      <c r="I99" s="9">
        <f t="shared" si="33"/>
        <v>3360</v>
      </c>
      <c r="J99" s="9"/>
    </row>
    <row r="100" spans="1:14" ht="26.25" hidden="1" x14ac:dyDescent="0.25">
      <c r="A100" s="176"/>
      <c r="B100" s="20" t="s">
        <v>25</v>
      </c>
      <c r="C100" s="3"/>
      <c r="D100" s="3"/>
      <c r="E100" s="3"/>
      <c r="F100" s="19">
        <v>3840</v>
      </c>
      <c r="G100" s="2">
        <v>2464</v>
      </c>
      <c r="H100" s="105" t="s">
        <v>68</v>
      </c>
      <c r="I100" s="9">
        <f t="shared" si="33"/>
        <v>1376</v>
      </c>
      <c r="J100" s="2"/>
    </row>
    <row r="101" spans="1:14" ht="26.25" hidden="1" x14ac:dyDescent="0.25">
      <c r="A101" s="176"/>
      <c r="B101" s="20" t="s">
        <v>26</v>
      </c>
      <c r="C101" s="3"/>
      <c r="D101" s="3"/>
      <c r="E101" s="3"/>
      <c r="F101" s="9">
        <v>14080</v>
      </c>
      <c r="G101" s="7">
        <v>6816</v>
      </c>
      <c r="H101" s="105" t="s">
        <v>68</v>
      </c>
      <c r="I101" s="9">
        <f t="shared" si="33"/>
        <v>7264</v>
      </c>
      <c r="J101" s="2"/>
    </row>
    <row r="102" spans="1:14" ht="51.75" customHeight="1" x14ac:dyDescent="0.25">
      <c r="A102" s="176"/>
      <c r="B102" s="86" t="s">
        <v>63</v>
      </c>
      <c r="C102" s="3"/>
      <c r="D102" s="3"/>
      <c r="E102" s="3"/>
      <c r="F102" s="32">
        <f>SUM(F103:F104)</f>
        <v>89444</v>
      </c>
      <c r="G102" s="33">
        <f>SUM(G103:G104)</f>
        <v>84971</v>
      </c>
      <c r="H102" s="32">
        <f>SUM(H103:H104)</f>
        <v>4473</v>
      </c>
      <c r="I102" s="33">
        <f>SUM(I103:I104)</f>
        <v>0</v>
      </c>
      <c r="J102" s="2"/>
      <c r="K102" s="104">
        <f>F102*5%</f>
        <v>4472.2</v>
      </c>
      <c r="L102" s="103">
        <f t="shared" ref="L102" si="34">F102-G102</f>
        <v>4473</v>
      </c>
      <c r="M102" s="34">
        <f>L102-K102</f>
        <v>0.8000000000001819</v>
      </c>
    </row>
    <row r="103" spans="1:14" x14ac:dyDescent="0.25">
      <c r="A103" s="176"/>
      <c r="B103" s="3" t="s">
        <v>64</v>
      </c>
      <c r="C103" s="3"/>
      <c r="D103" s="3"/>
      <c r="E103" s="3"/>
      <c r="F103" s="9">
        <v>34552</v>
      </c>
      <c r="G103" s="7">
        <v>32824</v>
      </c>
      <c r="H103" s="9">
        <f>MROUND(F103*5%,1)</f>
        <v>1728</v>
      </c>
      <c r="I103" s="9">
        <f t="shared" ref="I103" si="35">F103-G103-H103</f>
        <v>0</v>
      </c>
      <c r="J103" s="2"/>
      <c r="K103" s="104">
        <f>F103*5%</f>
        <v>1727.6000000000001</v>
      </c>
      <c r="L103" s="103">
        <f>F103-G103</f>
        <v>1728</v>
      </c>
      <c r="M103" s="34">
        <f>F103-H103</f>
        <v>32824</v>
      </c>
      <c r="N103" s="34">
        <f>F103-I103</f>
        <v>34552</v>
      </c>
    </row>
    <row r="104" spans="1:14" x14ac:dyDescent="0.25">
      <c r="A104" s="176"/>
      <c r="B104" s="3" t="s">
        <v>65</v>
      </c>
      <c r="C104" s="3"/>
      <c r="D104" s="3"/>
      <c r="E104" s="3"/>
      <c r="F104" s="7">
        <v>54892</v>
      </c>
      <c r="G104" s="7">
        <v>52147</v>
      </c>
      <c r="H104" s="9">
        <f t="shared" ref="H104" si="36">MROUND(F104*5%,1)</f>
        <v>2745</v>
      </c>
      <c r="I104" s="9">
        <f>F104-G104-H104</f>
        <v>0</v>
      </c>
      <c r="J104" s="2"/>
      <c r="K104" s="104">
        <f t="shared" ref="K104" si="37">F104*5%</f>
        <v>2744.6000000000004</v>
      </c>
      <c r="L104" s="103">
        <f t="shared" ref="L104" si="38">F104-G104</f>
        <v>2745</v>
      </c>
    </row>
    <row r="105" spans="1:14" ht="26.25" x14ac:dyDescent="0.25">
      <c r="A105" s="176" t="s">
        <v>67</v>
      </c>
      <c r="B105" s="86" t="s">
        <v>77</v>
      </c>
      <c r="C105" s="20"/>
      <c r="D105" s="20"/>
      <c r="E105" s="20"/>
      <c r="F105" s="97">
        <f>SUM(F106)</f>
        <v>2193</v>
      </c>
      <c r="G105" s="97">
        <f>SUM(G106:G108)</f>
        <v>59781</v>
      </c>
      <c r="H105" s="129">
        <f>SUM(H106:H108)</f>
        <v>0</v>
      </c>
      <c r="I105" s="97">
        <f>SUM(I106:I108)</f>
        <v>0</v>
      </c>
      <c r="J105" s="9"/>
    </row>
    <row r="106" spans="1:14" ht="24.75" customHeight="1" x14ac:dyDescent="0.25">
      <c r="A106" s="176"/>
      <c r="B106" s="20" t="s">
        <v>71</v>
      </c>
      <c r="C106" s="20"/>
      <c r="D106" s="20"/>
      <c r="E106" s="20"/>
      <c r="F106" s="56">
        <v>2193</v>
      </c>
      <c r="G106" s="56">
        <v>8050</v>
      </c>
      <c r="H106" s="9"/>
      <c r="I106" s="9"/>
      <c r="J106" s="9"/>
    </row>
    <row r="107" spans="1:14" ht="26.25" customHeight="1" x14ac:dyDescent="0.25">
      <c r="A107" s="176" t="s">
        <v>10</v>
      </c>
      <c r="B107" s="86" t="s">
        <v>20</v>
      </c>
      <c r="C107" s="20"/>
      <c r="D107" s="20"/>
      <c r="E107" s="20"/>
      <c r="F107" s="97">
        <f>SUM(F108)</f>
        <v>4608</v>
      </c>
      <c r="G107" s="97">
        <f>SUM(G108:G111)</f>
        <v>30461</v>
      </c>
      <c r="H107" s="129">
        <f>SUM(H108:H111)</f>
        <v>0</v>
      </c>
      <c r="I107" s="97">
        <f>SUM(I108:I111)</f>
        <v>0</v>
      </c>
      <c r="J107" s="9"/>
    </row>
    <row r="108" spans="1:14" ht="26.25" x14ac:dyDescent="0.25">
      <c r="A108" s="176"/>
      <c r="B108" s="20" t="s">
        <v>21</v>
      </c>
      <c r="C108" s="20"/>
      <c r="D108" s="20"/>
      <c r="E108" s="20"/>
      <c r="F108" s="56">
        <v>4608</v>
      </c>
      <c r="G108" s="56">
        <v>21270</v>
      </c>
      <c r="H108" s="9"/>
      <c r="I108" s="9"/>
      <c r="J108" s="9"/>
    </row>
    <row r="109" spans="1:14" ht="15.75" customHeight="1" x14ac:dyDescent="0.25">
      <c r="A109" s="176"/>
      <c r="B109" s="20" t="s">
        <v>23</v>
      </c>
      <c r="C109" s="3"/>
      <c r="D109" s="3"/>
      <c r="E109" s="3"/>
      <c r="F109" s="7">
        <v>896</v>
      </c>
      <c r="G109" s="150">
        <v>2520</v>
      </c>
      <c r="H109" s="19"/>
      <c r="I109" s="2"/>
      <c r="J109" s="151"/>
    </row>
    <row r="110" spans="1:14" ht="26.25" x14ac:dyDescent="0.25">
      <c r="A110" s="176"/>
      <c r="B110" s="20" t="s">
        <v>71</v>
      </c>
      <c r="C110" s="3"/>
      <c r="D110" s="3"/>
      <c r="E110" s="3"/>
      <c r="F110" s="7">
        <v>2257</v>
      </c>
      <c r="G110" s="150">
        <v>4291</v>
      </c>
      <c r="H110" s="19"/>
      <c r="I110" s="2"/>
      <c r="J110" s="151"/>
    </row>
    <row r="111" spans="1:14" ht="26.25" x14ac:dyDescent="0.25">
      <c r="A111" s="176"/>
      <c r="B111" s="20" t="s">
        <v>25</v>
      </c>
      <c r="C111" s="3"/>
      <c r="D111" s="3"/>
      <c r="E111" s="3"/>
      <c r="F111" s="7">
        <v>525</v>
      </c>
      <c r="G111" s="150">
        <v>2380</v>
      </c>
      <c r="H111" s="19"/>
      <c r="I111" s="2"/>
      <c r="J111" s="151"/>
    </row>
    <row r="112" spans="1:14" ht="26.25" x14ac:dyDescent="0.25">
      <c r="A112" s="176"/>
      <c r="B112" s="20" t="s">
        <v>26</v>
      </c>
      <c r="C112" s="3"/>
      <c r="D112" s="3"/>
      <c r="E112" s="3"/>
      <c r="F112" s="7">
        <v>632</v>
      </c>
      <c r="G112" s="150">
        <v>1476</v>
      </c>
      <c r="H112" s="19"/>
      <c r="I112" s="2"/>
      <c r="J112" s="151"/>
    </row>
    <row r="113" spans="1:10" ht="26.25" customHeight="1" x14ac:dyDescent="0.25">
      <c r="A113" s="176" t="s">
        <v>3</v>
      </c>
      <c r="B113" s="86" t="s">
        <v>77</v>
      </c>
      <c r="C113" s="20"/>
      <c r="D113" s="20"/>
      <c r="E113" s="20"/>
      <c r="F113" s="97">
        <f>SUM(F114)</f>
        <v>300</v>
      </c>
      <c r="G113" s="97">
        <f>SUM(G114:G115)</f>
        <v>3672</v>
      </c>
      <c r="H113" s="129">
        <f>SUM(H114:H115)</f>
        <v>0</v>
      </c>
      <c r="I113" s="97">
        <f>SUM(I114:I115)</f>
        <v>0</v>
      </c>
      <c r="J113" s="9"/>
    </row>
    <row r="114" spans="1:10" ht="26.25" x14ac:dyDescent="0.25">
      <c r="A114" s="176"/>
      <c r="B114" s="20" t="s">
        <v>25</v>
      </c>
      <c r="C114" s="20"/>
      <c r="D114" s="20"/>
      <c r="E114" s="20"/>
      <c r="F114" s="56">
        <v>300</v>
      </c>
      <c r="G114" s="56">
        <v>1632</v>
      </c>
      <c r="H114" s="9"/>
      <c r="I114" s="9"/>
      <c r="J114" s="9"/>
    </row>
    <row r="115" spans="1:10" ht="26.25" x14ac:dyDescent="0.25">
      <c r="A115" s="176"/>
      <c r="B115" s="20" t="s">
        <v>26</v>
      </c>
      <c r="C115" s="3"/>
      <c r="D115" s="3"/>
      <c r="E115" s="3"/>
      <c r="F115" s="7">
        <v>982</v>
      </c>
      <c r="G115" s="150">
        <v>2040</v>
      </c>
      <c r="H115" s="19"/>
      <c r="I115" s="2"/>
      <c r="J115" s="151"/>
    </row>
    <row r="116" spans="1:10" x14ac:dyDescent="0.25">
      <c r="A116" s="175"/>
      <c r="B116" s="98"/>
      <c r="C116" s="98"/>
      <c r="D116" s="98"/>
      <c r="E116" s="98"/>
      <c r="F116" s="99"/>
      <c r="G116" s="100"/>
      <c r="H116" s="170"/>
      <c r="I116" s="101"/>
    </row>
    <row r="117" spans="1:10" x14ac:dyDescent="0.25">
      <c r="A117" s="175"/>
      <c r="B117" s="98"/>
      <c r="C117" s="98"/>
      <c r="D117" s="98"/>
      <c r="E117" s="98"/>
      <c r="F117" s="99"/>
      <c r="G117" s="100"/>
      <c r="H117" s="170"/>
      <c r="I117" s="101"/>
    </row>
    <row r="118" spans="1:10" x14ac:dyDescent="0.25">
      <c r="A118" s="175"/>
      <c r="B118" s="98"/>
      <c r="C118" s="98"/>
      <c r="D118" s="98"/>
      <c r="E118" s="98"/>
      <c r="F118" s="99"/>
      <c r="G118" s="100"/>
      <c r="H118" s="170"/>
      <c r="I118" s="101"/>
    </row>
    <row r="119" spans="1:10" x14ac:dyDescent="0.25">
      <c r="A119" s="175"/>
      <c r="B119" s="98"/>
      <c r="C119" s="98"/>
      <c r="D119" s="98"/>
      <c r="E119" s="98"/>
      <c r="F119" s="99"/>
      <c r="G119" s="100"/>
      <c r="H119" s="170"/>
      <c r="I119" s="101"/>
    </row>
    <row r="120" spans="1:10" x14ac:dyDescent="0.25">
      <c r="A120" s="175"/>
      <c r="B120" s="98"/>
      <c r="C120" s="98"/>
      <c r="D120" s="98"/>
      <c r="E120" s="98"/>
      <c r="F120" s="99"/>
      <c r="G120" s="100"/>
      <c r="H120" s="170"/>
      <c r="I120" s="101"/>
    </row>
    <row r="121" spans="1:10" x14ac:dyDescent="0.25">
      <c r="A121" s="175"/>
      <c r="B121" s="98"/>
      <c r="C121" s="98"/>
      <c r="D121" s="98"/>
      <c r="E121" s="98"/>
      <c r="F121" s="99"/>
      <c r="G121" s="100"/>
      <c r="H121" s="170"/>
      <c r="I121" s="101"/>
    </row>
    <row r="122" spans="1:10" x14ac:dyDescent="0.25">
      <c r="A122" s="175"/>
      <c r="B122" s="98"/>
      <c r="C122" s="98"/>
      <c r="D122" s="98"/>
      <c r="E122" s="98"/>
      <c r="F122" s="99"/>
      <c r="G122" s="100"/>
      <c r="H122" s="170"/>
      <c r="I122" s="101"/>
    </row>
    <row r="123" spans="1:10" x14ac:dyDescent="0.25">
      <c r="A123" s="175"/>
      <c r="B123" s="98"/>
      <c r="C123" s="98"/>
      <c r="D123" s="98"/>
      <c r="E123" s="98"/>
      <c r="F123" s="99"/>
      <c r="G123" s="100"/>
      <c r="H123" s="170"/>
      <c r="I123" s="101"/>
    </row>
    <row r="124" spans="1:10" x14ac:dyDescent="0.25">
      <c r="A124" s="175"/>
      <c r="B124" s="98"/>
      <c r="C124" s="98"/>
      <c r="D124" s="98"/>
      <c r="E124" s="98"/>
      <c r="F124" s="99"/>
      <c r="G124" s="100"/>
      <c r="H124" s="170"/>
      <c r="I124" s="101"/>
    </row>
    <row r="125" spans="1:10" x14ac:dyDescent="0.25">
      <c r="A125" s="175"/>
      <c r="B125" s="98"/>
      <c r="C125" s="98"/>
      <c r="D125" s="98"/>
      <c r="E125" s="98"/>
      <c r="F125" s="99"/>
      <c r="G125" s="100"/>
      <c r="H125" s="170"/>
      <c r="I125" s="101"/>
    </row>
    <row r="126" spans="1:10" x14ac:dyDescent="0.25">
      <c r="A126" s="175"/>
      <c r="B126" s="98"/>
      <c r="C126" s="98"/>
      <c r="D126" s="98"/>
      <c r="E126" s="98"/>
      <c r="F126" s="99"/>
      <c r="G126" s="100"/>
      <c r="H126" s="170"/>
      <c r="I126" s="101"/>
    </row>
    <row r="127" spans="1:10" x14ac:dyDescent="0.25">
      <c r="A127" s="175"/>
      <c r="B127" s="98"/>
      <c r="C127" s="98"/>
      <c r="D127" s="98"/>
      <c r="E127" s="98"/>
      <c r="F127" s="99"/>
      <c r="G127" s="100"/>
      <c r="H127" s="170"/>
      <c r="I127" s="101"/>
    </row>
    <row r="128" spans="1:10" x14ac:dyDescent="0.25">
      <c r="A128" s="175"/>
      <c r="B128" s="98"/>
      <c r="C128" s="98"/>
      <c r="D128" s="98"/>
      <c r="E128" s="98"/>
      <c r="F128" s="99"/>
      <c r="G128" s="100"/>
      <c r="H128" s="170"/>
      <c r="I128" s="101"/>
    </row>
    <row r="129" spans="1:9" x14ac:dyDescent="0.25">
      <c r="A129" s="175"/>
      <c r="B129" s="98"/>
      <c r="C129" s="98"/>
      <c r="D129" s="98"/>
      <c r="E129" s="98"/>
      <c r="F129" s="99"/>
      <c r="G129" s="100"/>
      <c r="H129" s="170"/>
      <c r="I129" s="101"/>
    </row>
    <row r="130" spans="1:9" x14ac:dyDescent="0.25">
      <c r="A130" s="175"/>
      <c r="B130" s="98"/>
      <c r="C130" s="98"/>
      <c r="D130" s="98"/>
      <c r="E130" s="98"/>
      <c r="F130" s="99"/>
      <c r="G130" s="100"/>
      <c r="H130" s="170"/>
      <c r="I130" s="101"/>
    </row>
    <row r="131" spans="1:9" x14ac:dyDescent="0.25">
      <c r="A131" s="175"/>
      <c r="B131" s="98"/>
      <c r="C131" s="98"/>
      <c r="D131" s="98"/>
      <c r="E131" s="98"/>
      <c r="F131" s="99"/>
      <c r="G131" s="100"/>
      <c r="H131" s="170"/>
      <c r="I131" s="101"/>
    </row>
    <row r="132" spans="1:9" x14ac:dyDescent="0.25">
      <c r="F132" s="34"/>
      <c r="G132" s="47"/>
    </row>
    <row r="133" spans="1:9" x14ac:dyDescent="0.25">
      <c r="F133" s="34"/>
      <c r="G133" s="47"/>
    </row>
    <row r="135" spans="1:9" x14ac:dyDescent="0.25">
      <c r="F135" s="34">
        <f>F9+F21+F33+F45</f>
        <v>889</v>
      </c>
      <c r="G135" s="47">
        <f>G9+G21+G33+G45</f>
        <v>871</v>
      </c>
    </row>
    <row r="136" spans="1:9" x14ac:dyDescent="0.25">
      <c r="F136" s="34">
        <f>F13+F25+F37+F50</f>
        <v>263</v>
      </c>
      <c r="G136" s="47">
        <f>G13+G25+G37+G50</f>
        <v>262</v>
      </c>
    </row>
    <row r="137" spans="1:9" x14ac:dyDescent="0.25">
      <c r="F137" s="34">
        <f>F14+F26+F39+F51</f>
        <v>518</v>
      </c>
      <c r="G137" s="47">
        <f>G14+G26+G39+G51</f>
        <v>526</v>
      </c>
    </row>
    <row r="138" spans="1:9" x14ac:dyDescent="0.25">
      <c r="F138" s="34">
        <f>F16+F27+F40+F53</f>
        <v>22</v>
      </c>
      <c r="G138" s="47">
        <f>G16+G27+G40+G53</f>
        <v>18</v>
      </c>
    </row>
    <row r="139" spans="1:9" x14ac:dyDescent="0.25">
      <c r="F139" s="34">
        <f>F19+F31+F43+F55</f>
        <v>3</v>
      </c>
      <c r="G139" s="47">
        <f>G19+G31+G43+G55</f>
        <v>2</v>
      </c>
    </row>
    <row r="140" spans="1:9" x14ac:dyDescent="0.25">
      <c r="F140" s="34">
        <f>F20+F32+F44+F56</f>
        <v>2201</v>
      </c>
      <c r="G140" s="47">
        <f>G20+G32+G44+G56</f>
        <v>2178</v>
      </c>
    </row>
    <row r="141" spans="1:9" x14ac:dyDescent="0.25">
      <c r="F141" s="34"/>
      <c r="G141" s="47"/>
    </row>
  </sheetData>
  <mergeCells count="64">
    <mergeCell ref="F1:I1"/>
    <mergeCell ref="A64:A70"/>
    <mergeCell ref="F4:I4"/>
    <mergeCell ref="B4:B6"/>
    <mergeCell ref="A4:A6"/>
    <mergeCell ref="F2:I2"/>
    <mergeCell ref="A9:A20"/>
    <mergeCell ref="B9:B13"/>
    <mergeCell ref="A45:A56"/>
    <mergeCell ref="A21:A32"/>
    <mergeCell ref="C24:C25"/>
    <mergeCell ref="C26:C27"/>
    <mergeCell ref="C30:C31"/>
    <mergeCell ref="F5:I5"/>
    <mergeCell ref="C12:C13"/>
    <mergeCell ref="C16:C17"/>
    <mergeCell ref="B21:B25"/>
    <mergeCell ref="B80:B83"/>
    <mergeCell ref="C54:C55"/>
    <mergeCell ref="C58:C59"/>
    <mergeCell ref="C60:C61"/>
    <mergeCell ref="B50:B53"/>
    <mergeCell ref="C50:C51"/>
    <mergeCell ref="C52:C53"/>
    <mergeCell ref="B54:B55"/>
    <mergeCell ref="C45:C47"/>
    <mergeCell ref="C28:C29"/>
    <mergeCell ref="B38:B41"/>
    <mergeCell ref="B45:B49"/>
    <mergeCell ref="C48:C49"/>
    <mergeCell ref="B42:B43"/>
    <mergeCell ref="C36:C37"/>
    <mergeCell ref="B71:C71"/>
    <mergeCell ref="A3:I3"/>
    <mergeCell ref="C42:C43"/>
    <mergeCell ref="B26:B29"/>
    <mergeCell ref="B33:B37"/>
    <mergeCell ref="C9:C11"/>
    <mergeCell ref="C21:C23"/>
    <mergeCell ref="C33:C35"/>
    <mergeCell ref="C4:E5"/>
    <mergeCell ref="B14:B17"/>
    <mergeCell ref="C14:C15"/>
    <mergeCell ref="C38:C39"/>
    <mergeCell ref="C40:C41"/>
    <mergeCell ref="A8:I8"/>
    <mergeCell ref="B18:B19"/>
    <mergeCell ref="C18:C19"/>
    <mergeCell ref="A113:A115"/>
    <mergeCell ref="A33:A44"/>
    <mergeCell ref="B30:B31"/>
    <mergeCell ref="A107:A112"/>
    <mergeCell ref="B72:B75"/>
    <mergeCell ref="B76:B78"/>
    <mergeCell ref="A105:A106"/>
    <mergeCell ref="B64:B67"/>
    <mergeCell ref="B68:B70"/>
    <mergeCell ref="A63:I63"/>
    <mergeCell ref="A87:I87"/>
    <mergeCell ref="A88:A104"/>
    <mergeCell ref="A79:A86"/>
    <mergeCell ref="B79:C79"/>
    <mergeCell ref="B84:B86"/>
    <mergeCell ref="A71:A78"/>
  </mergeCells>
  <pageMargins left="0.78740157480314965" right="0.19685039370078741" top="0.19685039370078741" bottom="0" header="0" footer="0"/>
  <pageSetup paperSize="9"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zoomScaleNormal="100" workbookViewId="0">
      <selection activeCell="N2" sqref="N2:T2"/>
    </sheetView>
  </sheetViews>
  <sheetFormatPr defaultRowHeight="15" x14ac:dyDescent="0.25"/>
  <cols>
    <col min="1" max="1" width="13" style="10" customWidth="1"/>
    <col min="2" max="2" width="21" style="10" customWidth="1"/>
    <col min="3" max="3" width="18" style="10" customWidth="1"/>
    <col min="4" max="13" width="9.140625" style="10"/>
    <col min="14" max="14" width="10" style="10" bestFit="1" customWidth="1"/>
    <col min="15" max="15" width="10.42578125" style="10" customWidth="1"/>
    <col min="16" max="16" width="10" style="10" hidden="1" customWidth="1"/>
    <col min="17" max="17" width="9.5703125" style="10" hidden="1" customWidth="1"/>
    <col min="18" max="18" width="12.85546875" style="95" customWidth="1"/>
    <col min="19" max="19" width="11.140625" style="10" hidden="1" customWidth="1"/>
    <col min="20" max="20" width="12" style="10" hidden="1" customWidth="1"/>
    <col min="21" max="21" width="10.5703125" style="154" customWidth="1"/>
    <col min="22" max="22" width="12.7109375" customWidth="1"/>
    <col min="23" max="23" width="12.5703125" customWidth="1"/>
  </cols>
  <sheetData>
    <row r="1" spans="1:22" x14ac:dyDescent="0.25">
      <c r="A1" s="133"/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21" t="s">
        <v>51</v>
      </c>
      <c r="O1" s="221"/>
      <c r="P1" s="221"/>
      <c r="Q1" s="221"/>
      <c r="R1" s="221"/>
      <c r="S1" s="221"/>
      <c r="T1" s="221"/>
    </row>
    <row r="2" spans="1:22" ht="59.25" customHeight="1" x14ac:dyDescent="0.25">
      <c r="A2" s="133"/>
      <c r="B2" s="133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31" t="s">
        <v>82</v>
      </c>
      <c r="O2" s="231"/>
      <c r="P2" s="231"/>
      <c r="Q2" s="231"/>
      <c r="R2" s="231"/>
      <c r="S2" s="231"/>
      <c r="T2" s="231"/>
    </row>
    <row r="3" spans="1:22" ht="33.75" customHeight="1" x14ac:dyDescent="0.25">
      <c r="A3" s="232" t="s">
        <v>69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2" ht="28.5" customHeight="1" x14ac:dyDescent="0.25">
      <c r="A4" s="233"/>
      <c r="B4" s="233"/>
      <c r="C4" s="237"/>
      <c r="D4" s="222" t="s">
        <v>11</v>
      </c>
      <c r="E4" s="246"/>
      <c r="F4" s="246"/>
      <c r="G4" s="246"/>
      <c r="H4" s="246"/>
      <c r="I4" s="246"/>
      <c r="J4" s="246"/>
      <c r="K4" s="246"/>
      <c r="L4" s="223"/>
      <c r="M4" s="248" t="s">
        <v>49</v>
      </c>
      <c r="N4" s="248"/>
      <c r="O4" s="248"/>
      <c r="P4" s="248"/>
      <c r="Q4" s="248"/>
      <c r="R4" s="248"/>
      <c r="S4" s="248"/>
      <c r="T4" s="248"/>
    </row>
    <row r="5" spans="1:22" ht="18" customHeight="1" x14ac:dyDescent="0.25">
      <c r="A5" s="233"/>
      <c r="B5" s="233"/>
      <c r="C5" s="237"/>
      <c r="D5" s="224"/>
      <c r="E5" s="247"/>
      <c r="F5" s="247"/>
      <c r="G5" s="247"/>
      <c r="H5" s="247"/>
      <c r="I5" s="247"/>
      <c r="J5" s="247"/>
      <c r="K5" s="247"/>
      <c r="L5" s="225"/>
      <c r="M5" s="248"/>
      <c r="N5" s="248"/>
      <c r="O5" s="248"/>
      <c r="P5" s="248"/>
      <c r="Q5" s="248"/>
      <c r="R5" s="248"/>
      <c r="S5" s="248"/>
      <c r="T5" s="248"/>
    </row>
    <row r="6" spans="1:22" ht="16.5" customHeight="1" x14ac:dyDescent="0.25">
      <c r="A6" s="233"/>
      <c r="B6" s="233"/>
      <c r="C6" s="237"/>
      <c r="D6" s="242" t="s">
        <v>34</v>
      </c>
      <c r="E6" s="243"/>
      <c r="F6" s="243"/>
      <c r="G6" s="243"/>
      <c r="H6" s="233" t="s">
        <v>74</v>
      </c>
      <c r="I6" s="222" t="s">
        <v>76</v>
      </c>
      <c r="J6" s="246"/>
      <c r="K6" s="246"/>
      <c r="L6" s="223"/>
      <c r="M6" s="233" t="s">
        <v>47</v>
      </c>
      <c r="N6" s="233" t="s">
        <v>29</v>
      </c>
      <c r="O6" s="233"/>
      <c r="P6" s="233"/>
      <c r="Q6" s="233"/>
      <c r="R6" s="234" t="s">
        <v>55</v>
      </c>
      <c r="S6" s="222" t="s">
        <v>50</v>
      </c>
      <c r="T6" s="223"/>
    </row>
    <row r="7" spans="1:22" ht="19.5" customHeight="1" x14ac:dyDescent="0.25">
      <c r="A7" s="233"/>
      <c r="B7" s="233"/>
      <c r="C7" s="237"/>
      <c r="D7" s="244"/>
      <c r="E7" s="245"/>
      <c r="F7" s="245"/>
      <c r="G7" s="245"/>
      <c r="H7" s="233"/>
      <c r="I7" s="224"/>
      <c r="J7" s="247"/>
      <c r="K7" s="247"/>
      <c r="L7" s="225"/>
      <c r="M7" s="233"/>
      <c r="N7" s="241" t="s">
        <v>30</v>
      </c>
      <c r="O7" s="241" t="s">
        <v>31</v>
      </c>
      <c r="P7" s="239" t="s">
        <v>48</v>
      </c>
      <c r="Q7" s="240"/>
      <c r="R7" s="235"/>
      <c r="S7" s="224"/>
      <c r="T7" s="225"/>
    </row>
    <row r="8" spans="1:22" ht="95.25" customHeight="1" x14ac:dyDescent="0.25">
      <c r="A8" s="233"/>
      <c r="B8" s="233"/>
      <c r="C8" s="238"/>
      <c r="D8" s="68" t="s">
        <v>73</v>
      </c>
      <c r="E8" s="68" t="s">
        <v>36</v>
      </c>
      <c r="F8" s="128" t="s">
        <v>37</v>
      </c>
      <c r="G8" s="148" t="s">
        <v>28</v>
      </c>
      <c r="H8" s="233"/>
      <c r="I8" s="149" t="str">
        <f>E8</f>
        <v>ожидаемое исполнение по итогам года</v>
      </c>
      <c r="J8" s="139" t="str">
        <f t="shared" ref="J8:K8" si="0">F8</f>
        <v>откл в пределах нормы (5%) (-) превышение МЗ</v>
      </c>
      <c r="K8" s="139" t="str">
        <f t="shared" si="0"/>
        <v>откл в сверх нормы (&gt;5%)</v>
      </c>
      <c r="L8" s="139" t="s">
        <v>75</v>
      </c>
      <c r="M8" s="233"/>
      <c r="N8" s="238"/>
      <c r="O8" s="238"/>
      <c r="P8" s="128" t="s">
        <v>52</v>
      </c>
      <c r="Q8" s="128" t="s">
        <v>53</v>
      </c>
      <c r="R8" s="236"/>
      <c r="S8" s="107" t="s">
        <v>33</v>
      </c>
      <c r="T8" s="68" t="s">
        <v>32</v>
      </c>
    </row>
    <row r="9" spans="1:22" ht="15.75" thickBot="1" x14ac:dyDescent="0.3">
      <c r="A9" s="124">
        <v>1</v>
      </c>
      <c r="B9" s="124">
        <f t="shared" ref="B9:T9" si="1">A9+1</f>
        <v>2</v>
      </c>
      <c r="C9" s="124">
        <f t="shared" si="1"/>
        <v>3</v>
      </c>
      <c r="D9" s="124">
        <f t="shared" si="1"/>
        <v>4</v>
      </c>
      <c r="E9" s="124">
        <f t="shared" si="1"/>
        <v>5</v>
      </c>
      <c r="F9" s="124">
        <f t="shared" si="1"/>
        <v>6</v>
      </c>
      <c r="G9" s="124">
        <f t="shared" si="1"/>
        <v>7</v>
      </c>
      <c r="H9" s="124"/>
      <c r="I9" s="124"/>
      <c r="J9" s="124"/>
      <c r="K9" s="124"/>
      <c r="L9" s="124"/>
      <c r="M9" s="124">
        <f>G9+1</f>
        <v>8</v>
      </c>
      <c r="N9" s="124">
        <f t="shared" si="1"/>
        <v>9</v>
      </c>
      <c r="O9" s="124">
        <f t="shared" si="1"/>
        <v>10</v>
      </c>
      <c r="P9" s="124">
        <f t="shared" si="1"/>
        <v>11</v>
      </c>
      <c r="Q9" s="124">
        <f t="shared" si="1"/>
        <v>12</v>
      </c>
      <c r="R9" s="135">
        <f t="shared" si="1"/>
        <v>13</v>
      </c>
      <c r="S9" s="124">
        <f t="shared" si="1"/>
        <v>14</v>
      </c>
      <c r="T9" s="124">
        <f t="shared" si="1"/>
        <v>15</v>
      </c>
    </row>
    <row r="10" spans="1:22" x14ac:dyDescent="0.25">
      <c r="A10" s="228" t="s">
        <v>12</v>
      </c>
      <c r="B10" s="227" t="s">
        <v>13</v>
      </c>
      <c r="C10" s="2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36"/>
      <c r="R10" s="127">
        <f>R11+R15</f>
        <v>338492.99296746298</v>
      </c>
      <c r="S10" s="88">
        <f>S11+S15</f>
        <v>155978.97102616038</v>
      </c>
      <c r="T10" s="88">
        <f>T11+T15</f>
        <v>193710.0212002577</v>
      </c>
      <c r="U10" s="154">
        <f>2771267.91</f>
        <v>2771267.91</v>
      </c>
      <c r="V10" s="132">
        <f>R10-U10</f>
        <v>-2432774.9170325371</v>
      </c>
    </row>
    <row r="11" spans="1:22" x14ac:dyDescent="0.25">
      <c r="A11" s="216"/>
      <c r="B11" s="226" t="s">
        <v>14</v>
      </c>
      <c r="C11" s="123" t="s">
        <v>7</v>
      </c>
      <c r="D11" s="129">
        <f>SUM(D12:D14)</f>
        <v>457</v>
      </c>
      <c r="E11" s="129">
        <f>SUM(E12:E14)</f>
        <v>431</v>
      </c>
      <c r="F11" s="129">
        <f>SUM(F12:F14)</f>
        <v>23</v>
      </c>
      <c r="G11" s="129">
        <f>SUM(G12:G14)</f>
        <v>3</v>
      </c>
      <c r="H11" s="129">
        <f t="shared" ref="H11:L11" si="2">SUM(H12:H14)</f>
        <v>454</v>
      </c>
      <c r="I11" s="129">
        <f t="shared" si="2"/>
        <v>431</v>
      </c>
      <c r="J11" s="129">
        <f t="shared" si="2"/>
        <v>23</v>
      </c>
      <c r="K11" s="129">
        <f t="shared" si="2"/>
        <v>0</v>
      </c>
      <c r="L11" s="129">
        <f t="shared" si="2"/>
        <v>3</v>
      </c>
      <c r="M11" s="121"/>
      <c r="N11" s="121"/>
      <c r="O11" s="121"/>
      <c r="P11" s="121"/>
      <c r="Q11" s="137"/>
      <c r="R11" s="121">
        <f>SUM(R12:R14)</f>
        <v>114573.00778835891</v>
      </c>
      <c r="S11" s="89">
        <f>SUM(S12:S14)</f>
        <v>0</v>
      </c>
      <c r="T11" s="89">
        <f>SUM(T12:T14)</f>
        <v>114573.00778835891</v>
      </c>
    </row>
    <row r="12" spans="1:22" x14ac:dyDescent="0.25">
      <c r="A12" s="216"/>
      <c r="B12" s="226"/>
      <c r="C12" s="68" t="s">
        <v>41</v>
      </c>
      <c r="D12" s="56">
        <f>'выполнение объема услуг'!F65</f>
        <v>5</v>
      </c>
      <c r="E12" s="56">
        <f>'выполнение объема услуг'!G65</f>
        <v>4</v>
      </c>
      <c r="F12" s="56">
        <f>'выполнение объема услуг'!H65</f>
        <v>1</v>
      </c>
      <c r="G12" s="56">
        <f>'выполнение объема услуг'!I65</f>
        <v>0</v>
      </c>
      <c r="H12" s="56">
        <v>5</v>
      </c>
      <c r="I12" s="56">
        <f t="shared" ref="I12" si="3">E12</f>
        <v>4</v>
      </c>
      <c r="J12" s="56">
        <v>1</v>
      </c>
      <c r="K12" s="56">
        <f t="shared" ref="K12:K14" si="4">H12-I12-J12</f>
        <v>0</v>
      </c>
      <c r="L12" s="56">
        <f t="shared" ref="L12:L14" si="5">D12-H12</f>
        <v>0</v>
      </c>
      <c r="M12" s="119">
        <f>[1]субсидия!$E$10</f>
        <v>150538.99859611964</v>
      </c>
      <c r="N12" s="109">
        <v>0</v>
      </c>
      <c r="O12" s="109">
        <f>SUM(P12:Q12)</f>
        <v>150538.99859611964</v>
      </c>
      <c r="P12" s="109">
        <v>0</v>
      </c>
      <c r="Q12" s="109">
        <f>M12-N12-P12</f>
        <v>150538.99859611964</v>
      </c>
      <c r="R12" s="109">
        <f t="shared" ref="R12:R14" si="6">O12*L12</f>
        <v>0</v>
      </c>
      <c r="S12" s="90"/>
      <c r="T12" s="91">
        <v>0</v>
      </c>
    </row>
    <row r="13" spans="1:22" ht="38.25" customHeight="1" x14ac:dyDescent="0.25">
      <c r="A13" s="216"/>
      <c r="B13" s="226"/>
      <c r="C13" s="68" t="s">
        <v>60</v>
      </c>
      <c r="D13" s="56">
        <f>'выполнение объема услуг'!F66</f>
        <v>0</v>
      </c>
      <c r="E13" s="56">
        <f>'выполнение объема услуг'!G66</f>
        <v>0</v>
      </c>
      <c r="F13" s="56">
        <f>'выполнение объема услуг'!H66</f>
        <v>0</v>
      </c>
      <c r="G13" s="56">
        <f>'выполнение объема услуг'!I66</f>
        <v>0</v>
      </c>
      <c r="H13" s="56">
        <v>0</v>
      </c>
      <c r="I13" s="56">
        <f t="shared" ref="I13:I51" si="7">E13</f>
        <v>0</v>
      </c>
      <c r="J13" s="56">
        <f t="shared" ref="J13" si="8">MROUND(H13*5%,1)</f>
        <v>0</v>
      </c>
      <c r="K13" s="56">
        <f t="shared" si="4"/>
        <v>0</v>
      </c>
      <c r="L13" s="56">
        <f t="shared" si="5"/>
        <v>0</v>
      </c>
      <c r="M13" s="119">
        <f>[1]субсидия!$E$11</f>
        <v>60675.002596119637</v>
      </c>
      <c r="N13" s="109">
        <v>0</v>
      </c>
      <c r="O13" s="109">
        <f t="shared" ref="O13:O17" si="9">SUM(P13:Q13)</f>
        <v>60675.002596119637</v>
      </c>
      <c r="P13" s="109">
        <v>0</v>
      </c>
      <c r="Q13" s="109">
        <f>M13-N13-P13</f>
        <v>60675.002596119637</v>
      </c>
      <c r="R13" s="109">
        <f t="shared" si="6"/>
        <v>0</v>
      </c>
      <c r="S13" s="90"/>
      <c r="T13" s="91">
        <v>0</v>
      </c>
      <c r="U13" s="155">
        <f>[1]субсидия!$S$5</f>
        <v>-3.8163736462593079E-3</v>
      </c>
    </row>
    <row r="14" spans="1:22" ht="39" x14ac:dyDescent="0.25">
      <c r="A14" s="216"/>
      <c r="B14" s="226"/>
      <c r="C14" s="124" t="s">
        <v>61</v>
      </c>
      <c r="D14" s="56">
        <f>'выполнение объема услуг'!F67</f>
        <v>452</v>
      </c>
      <c r="E14" s="56">
        <f>'выполнение объема услуг'!G67</f>
        <v>427</v>
      </c>
      <c r="F14" s="56">
        <f>'выполнение объема услуг'!H67</f>
        <v>22</v>
      </c>
      <c r="G14" s="56">
        <f>'выполнение объема услуг'!I67</f>
        <v>3</v>
      </c>
      <c r="H14" s="129">
        <f>449</f>
        <v>449</v>
      </c>
      <c r="I14" s="56">
        <f t="shared" si="7"/>
        <v>427</v>
      </c>
      <c r="J14" s="56">
        <v>22</v>
      </c>
      <c r="K14" s="56">
        <f t="shared" si="4"/>
        <v>0</v>
      </c>
      <c r="L14" s="56">
        <f t="shared" si="5"/>
        <v>3</v>
      </c>
      <c r="M14" s="119">
        <f>[1]субсидия!$E$12</f>
        <v>60675.002596119637</v>
      </c>
      <c r="N14" s="109">
        <f>154*146</f>
        <v>22484</v>
      </c>
      <c r="O14" s="109">
        <f t="shared" si="9"/>
        <v>38191.002596119637</v>
      </c>
      <c r="P14" s="109">
        <v>0</v>
      </c>
      <c r="Q14" s="109">
        <f>M14-N14-P14</f>
        <v>38191.002596119637</v>
      </c>
      <c r="R14" s="109">
        <f t="shared" si="6"/>
        <v>114573.00778835891</v>
      </c>
      <c r="S14" s="90"/>
      <c r="T14" s="91">
        <f>G14*Q14</f>
        <v>114573.00778835891</v>
      </c>
    </row>
    <row r="15" spans="1:22" x14ac:dyDescent="0.25">
      <c r="A15" s="216"/>
      <c r="B15" s="226" t="s">
        <v>15</v>
      </c>
      <c r="C15" s="13" t="s">
        <v>7</v>
      </c>
      <c r="D15" s="129">
        <f>SUM(D16:D17)</f>
        <v>457</v>
      </c>
      <c r="E15" s="129">
        <f>SUM(E16:E17)</f>
        <v>431</v>
      </c>
      <c r="F15" s="129">
        <f>SUM(F16:F17)</f>
        <v>22.85</v>
      </c>
      <c r="G15" s="129">
        <f>SUM(G16:G17)</f>
        <v>3.1499999999999986</v>
      </c>
      <c r="H15" s="129">
        <f t="shared" ref="H15:K15" si="10">SUM(H16:H17)</f>
        <v>454</v>
      </c>
      <c r="I15" s="129">
        <f t="shared" si="10"/>
        <v>431</v>
      </c>
      <c r="J15" s="129">
        <f t="shared" si="10"/>
        <v>23</v>
      </c>
      <c r="K15" s="129">
        <f t="shared" si="10"/>
        <v>0</v>
      </c>
      <c r="L15" s="129">
        <f>SUM(L16:L17)</f>
        <v>3</v>
      </c>
      <c r="M15" s="123"/>
      <c r="N15" s="121"/>
      <c r="O15" s="121">
        <f t="shared" si="9"/>
        <v>0</v>
      </c>
      <c r="P15" s="121"/>
      <c r="Q15" s="121"/>
      <c r="R15" s="121">
        <f>SUM(R16:R17)</f>
        <v>223919.98517910406</v>
      </c>
      <c r="S15" s="92">
        <f>SUM(S16:S17)</f>
        <v>155978.97102616038</v>
      </c>
      <c r="T15" s="89">
        <f>SUM(T16:T17)</f>
        <v>79137.013411898792</v>
      </c>
    </row>
    <row r="16" spans="1:22" x14ac:dyDescent="0.25">
      <c r="A16" s="216"/>
      <c r="B16" s="226"/>
      <c r="C16" s="125" t="s">
        <v>16</v>
      </c>
      <c r="D16" s="56">
        <f>'выполнение объема услуг'!F69</f>
        <v>60</v>
      </c>
      <c r="E16" s="56">
        <f>'выполнение объема услуг'!G69</f>
        <v>57</v>
      </c>
      <c r="F16" s="56">
        <f>'выполнение объема услуг'!H69</f>
        <v>3</v>
      </c>
      <c r="G16" s="56">
        <f>'выполнение объема услуг'!I69</f>
        <v>0</v>
      </c>
      <c r="H16" s="56">
        <v>60</v>
      </c>
      <c r="I16" s="56">
        <f t="shared" ref="I16:I17" si="11">E16</f>
        <v>57</v>
      </c>
      <c r="J16" s="146">
        <v>3</v>
      </c>
      <c r="K16" s="56">
        <f>H16-I16-J16</f>
        <v>0</v>
      </c>
      <c r="L16" s="56">
        <f>D16-H16</f>
        <v>0</v>
      </c>
      <c r="M16" s="119">
        <f>[1]субсидия!$E$7</f>
        <v>138079.98918425859</v>
      </c>
      <c r="N16" s="109">
        <v>0</v>
      </c>
      <c r="O16" s="109">
        <f t="shared" si="9"/>
        <v>138079.98918425859</v>
      </c>
      <c r="P16" s="109">
        <f>23804593.34/35882018.97*M16</f>
        <v>91604.042505829872</v>
      </c>
      <c r="Q16" s="109">
        <f>M16-N16-P16</f>
        <v>46475.946678428721</v>
      </c>
      <c r="R16" s="109">
        <f t="shared" ref="R16:R17" si="12">O16*L16</f>
        <v>0</v>
      </c>
      <c r="S16" s="93">
        <f>P16*G16</f>
        <v>0</v>
      </c>
      <c r="T16" s="91">
        <f>Q16*G16</f>
        <v>0</v>
      </c>
    </row>
    <row r="17" spans="1:24" ht="22.5" customHeight="1" thickBot="1" x14ac:dyDescent="0.3">
      <c r="A17" s="229"/>
      <c r="B17" s="230"/>
      <c r="C17" s="126" t="s">
        <v>17</v>
      </c>
      <c r="D17" s="56">
        <f>'выполнение объема услуг'!F70</f>
        <v>397</v>
      </c>
      <c r="E17" s="56">
        <f>'выполнение объема услуг'!G70</f>
        <v>374</v>
      </c>
      <c r="F17" s="56">
        <f>'выполнение объема услуг'!H70</f>
        <v>19.850000000000001</v>
      </c>
      <c r="G17" s="56">
        <f>'выполнение объема услуг'!I70</f>
        <v>3.1499999999999986</v>
      </c>
      <c r="H17" s="146">
        <v>394</v>
      </c>
      <c r="I17" s="146">
        <f t="shared" si="11"/>
        <v>374</v>
      </c>
      <c r="J17" s="146">
        <v>20</v>
      </c>
      <c r="K17" s="146">
        <f t="shared" ref="K17" si="13">H17-I17-J17</f>
        <v>0</v>
      </c>
      <c r="L17" s="56">
        <f>D17-H17</f>
        <v>3</v>
      </c>
      <c r="M17" s="120">
        <f>[1]субсидия!$E$8</f>
        <v>74639.995059701352</v>
      </c>
      <c r="N17" s="122">
        <v>0</v>
      </c>
      <c r="O17" s="122">
        <f t="shared" si="9"/>
        <v>74639.995059701352</v>
      </c>
      <c r="P17" s="109">
        <f>23804593.34/35882018.97*M17</f>
        <v>49517.133659098552</v>
      </c>
      <c r="Q17" s="122">
        <f>M17-N17-P17</f>
        <v>25122.8614006028</v>
      </c>
      <c r="R17" s="122">
        <f t="shared" si="12"/>
        <v>223919.98517910406</v>
      </c>
      <c r="S17" s="112">
        <f>P17*G17</f>
        <v>155978.97102616038</v>
      </c>
      <c r="T17" s="113">
        <f>Q17*G17</f>
        <v>79137.013411898792</v>
      </c>
    </row>
    <row r="18" spans="1:24" x14ac:dyDescent="0.25">
      <c r="A18" s="228" t="s">
        <v>18</v>
      </c>
      <c r="B18" s="227" t="s">
        <v>13</v>
      </c>
      <c r="C18" s="2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36"/>
      <c r="R18" s="127">
        <f>R19+R23</f>
        <v>163729.61180848817</v>
      </c>
      <c r="S18" s="88">
        <f>S19+S23</f>
        <v>118765.52697393713</v>
      </c>
      <c r="T18" s="88">
        <f>T19+T23</f>
        <v>175644.47595910833</v>
      </c>
      <c r="W18" s="132">
        <f>R18+R10+R26</f>
        <v>1293852.611802347</v>
      </c>
    </row>
    <row r="19" spans="1:24" x14ac:dyDescent="0.25">
      <c r="A19" s="216"/>
      <c r="B19" s="226" t="s">
        <v>14</v>
      </c>
      <c r="C19" s="123" t="s">
        <v>7</v>
      </c>
      <c r="D19" s="129">
        <f>SUM(D20:D22)</f>
        <v>160</v>
      </c>
      <c r="E19" s="129">
        <f>SUM(E20:E22)</f>
        <v>150</v>
      </c>
      <c r="F19" s="129">
        <f>SUM(F20:F22)</f>
        <v>8</v>
      </c>
      <c r="G19" s="129">
        <f>SUM(G20:G22)</f>
        <v>2</v>
      </c>
      <c r="H19" s="129">
        <f t="shared" ref="H19:L19" si="14">SUM(H20:H22)</f>
        <v>158</v>
      </c>
      <c r="I19" s="129">
        <f t="shared" si="14"/>
        <v>150</v>
      </c>
      <c r="J19" s="129">
        <f t="shared" si="14"/>
        <v>8</v>
      </c>
      <c r="K19" s="129">
        <f t="shared" si="14"/>
        <v>0</v>
      </c>
      <c r="L19" s="129">
        <f t="shared" si="14"/>
        <v>2</v>
      </c>
      <c r="M19" s="121"/>
      <c r="N19" s="121"/>
      <c r="O19" s="121"/>
      <c r="P19" s="121"/>
      <c r="Q19" s="137"/>
      <c r="R19" s="121">
        <f>SUM(R20:R22)</f>
        <v>16216.329252511234</v>
      </c>
      <c r="S19" s="89">
        <f>SUM(S20:S22)</f>
        <v>0</v>
      </c>
      <c r="T19" s="89">
        <f>SUM(T20:T22)</f>
        <v>98520.085252511257</v>
      </c>
    </row>
    <row r="20" spans="1:24" x14ac:dyDescent="0.25">
      <c r="A20" s="216"/>
      <c r="B20" s="226"/>
      <c r="C20" s="68" t="s">
        <v>41</v>
      </c>
      <c r="D20" s="56">
        <f>'выполнение объема услуг'!F73</f>
        <v>1</v>
      </c>
      <c r="E20" s="56">
        <f>'выполнение объема услуг'!G73</f>
        <v>2</v>
      </c>
      <c r="F20" s="56">
        <f>'выполнение объема услуг'!H73</f>
        <v>0</v>
      </c>
      <c r="G20" s="56">
        <f>'выполнение объема услуг'!I73</f>
        <v>-1</v>
      </c>
      <c r="H20" s="56">
        <v>2</v>
      </c>
      <c r="I20" s="56">
        <f t="shared" si="7"/>
        <v>2</v>
      </c>
      <c r="J20" s="56">
        <f t="shared" ref="J20:J22" si="15">MROUND(H20*5%,1)</f>
        <v>0</v>
      </c>
      <c r="K20" s="56">
        <f t="shared" ref="K20:K22" si="16">H20-I20-J20</f>
        <v>0</v>
      </c>
      <c r="L20" s="56">
        <f t="shared" ref="L20:L22" si="17">D20-H20</f>
        <v>-1</v>
      </c>
      <c r="M20" s="119">
        <f>[1]субсидия!$E$18</f>
        <v>154047.79862625565</v>
      </c>
      <c r="N20" s="109">
        <v>0</v>
      </c>
      <c r="O20" s="109">
        <f>SUM(P20:Q20)</f>
        <v>154047.79862625565</v>
      </c>
      <c r="P20" s="109">
        <v>0</v>
      </c>
      <c r="Q20" s="109">
        <f>M20-N20-P20</f>
        <v>154047.79862625565</v>
      </c>
      <c r="R20" s="109">
        <f>O20*L20</f>
        <v>-154047.79862625565</v>
      </c>
      <c r="S20" s="90"/>
      <c r="T20" s="91">
        <v>0</v>
      </c>
    </row>
    <row r="21" spans="1:24" ht="37.5" customHeight="1" x14ac:dyDescent="0.25">
      <c r="A21" s="216"/>
      <c r="B21" s="226"/>
      <c r="C21" s="68" t="s">
        <v>60</v>
      </c>
      <c r="D21" s="56">
        <f>'выполнение объема услуг'!F74</f>
        <v>2</v>
      </c>
      <c r="E21" s="56">
        <f>'выполнение объема услуг'!G74</f>
        <v>1</v>
      </c>
      <c r="F21" s="56">
        <f>'выполнение объема услуг'!H74</f>
        <v>0</v>
      </c>
      <c r="G21" s="56">
        <f>'выполнение объема услуг'!I74</f>
        <v>1</v>
      </c>
      <c r="H21" s="56">
        <v>1</v>
      </c>
      <c r="I21" s="56">
        <f t="shared" si="7"/>
        <v>1</v>
      </c>
      <c r="J21" s="56">
        <f t="shared" si="15"/>
        <v>0</v>
      </c>
      <c r="K21" s="56">
        <f t="shared" si="16"/>
        <v>0</v>
      </c>
      <c r="L21" s="56">
        <f>D21-H21</f>
        <v>1</v>
      </c>
      <c r="M21" s="119">
        <f>[1]субсидия!$E$19</f>
        <v>71744.042626255628</v>
      </c>
      <c r="N21" s="109">
        <v>0</v>
      </c>
      <c r="O21" s="109">
        <f t="shared" ref="O21:O25" si="18">SUM(P21:Q21)</f>
        <v>71744.042626255628</v>
      </c>
      <c r="P21" s="109">
        <v>0</v>
      </c>
      <c r="Q21" s="109">
        <f>M21-N21-P21</f>
        <v>71744.042626255628</v>
      </c>
      <c r="R21" s="109">
        <f t="shared" ref="R21:R22" si="19">O21*L21</f>
        <v>71744.042626255628</v>
      </c>
      <c r="S21" s="90"/>
      <c r="T21" s="91">
        <v>0</v>
      </c>
    </row>
    <row r="22" spans="1:24" ht="39" x14ac:dyDescent="0.25">
      <c r="A22" s="216"/>
      <c r="B22" s="226"/>
      <c r="C22" s="124" t="s">
        <v>61</v>
      </c>
      <c r="D22" s="56">
        <f>'выполнение объема услуг'!F75</f>
        <v>157</v>
      </c>
      <c r="E22" s="56">
        <f>'выполнение объема услуг'!G75</f>
        <v>147</v>
      </c>
      <c r="F22" s="56">
        <f>'выполнение объема услуг'!H75</f>
        <v>8</v>
      </c>
      <c r="G22" s="56">
        <f>'выполнение объема услуг'!I75</f>
        <v>2</v>
      </c>
      <c r="H22" s="56">
        <v>155</v>
      </c>
      <c r="I22" s="56">
        <f t="shared" si="7"/>
        <v>147</v>
      </c>
      <c r="J22" s="56">
        <f t="shared" si="15"/>
        <v>8</v>
      </c>
      <c r="K22" s="56">
        <f t="shared" si="16"/>
        <v>0</v>
      </c>
      <c r="L22" s="56">
        <f t="shared" si="17"/>
        <v>2</v>
      </c>
      <c r="M22" s="119">
        <f>[1]субсидия!$E$20</f>
        <v>71744.042626255628</v>
      </c>
      <c r="N22" s="109">
        <f>154*146</f>
        <v>22484</v>
      </c>
      <c r="O22" s="109">
        <f t="shared" si="18"/>
        <v>49260.042626255628</v>
      </c>
      <c r="P22" s="109">
        <v>0</v>
      </c>
      <c r="Q22" s="109">
        <f>M22-N22-P22</f>
        <v>49260.042626255628</v>
      </c>
      <c r="R22" s="109">
        <f t="shared" si="19"/>
        <v>98520.085252511257</v>
      </c>
      <c r="S22" s="90"/>
      <c r="T22" s="91">
        <f>G22*Q22</f>
        <v>98520.085252511257</v>
      </c>
    </row>
    <row r="23" spans="1:24" ht="17.25" customHeight="1" x14ac:dyDescent="0.25">
      <c r="A23" s="216"/>
      <c r="B23" s="226" t="s">
        <v>15</v>
      </c>
      <c r="C23" s="13" t="s">
        <v>7</v>
      </c>
      <c r="D23" s="129">
        <f>SUM(D24:D25)</f>
        <v>160</v>
      </c>
      <c r="E23" s="129">
        <f>SUM(E24:E25)</f>
        <v>150</v>
      </c>
      <c r="F23" s="129">
        <f>SUM(F24:F25)</f>
        <v>8</v>
      </c>
      <c r="G23" s="129">
        <f>SUM(G24:G25)</f>
        <v>2</v>
      </c>
      <c r="H23" s="129">
        <f t="shared" ref="H23:L23" si="20">SUM(H24:H25)</f>
        <v>158</v>
      </c>
      <c r="I23" s="129">
        <f t="shared" si="20"/>
        <v>150</v>
      </c>
      <c r="J23" s="129">
        <f t="shared" si="20"/>
        <v>8</v>
      </c>
      <c r="K23" s="129">
        <f t="shared" si="20"/>
        <v>0</v>
      </c>
      <c r="L23" s="129">
        <f t="shared" si="20"/>
        <v>2</v>
      </c>
      <c r="M23" s="123"/>
      <c r="N23" s="121"/>
      <c r="O23" s="121">
        <f t="shared" si="18"/>
        <v>0</v>
      </c>
      <c r="P23" s="121"/>
      <c r="Q23" s="121"/>
      <c r="R23" s="121">
        <f>SUM(R24:R25)</f>
        <v>147513.28255597694</v>
      </c>
      <c r="S23" s="92">
        <f>SUM(S24:S25)</f>
        <v>118765.52697393713</v>
      </c>
      <c r="T23" s="89">
        <f>SUM(T24:T25)</f>
        <v>77124.390706597056</v>
      </c>
    </row>
    <row r="24" spans="1:24" x14ac:dyDescent="0.25">
      <c r="A24" s="216"/>
      <c r="B24" s="226"/>
      <c r="C24" s="125" t="s">
        <v>16</v>
      </c>
      <c r="D24" s="56">
        <f>'выполнение объема услуг'!F77</f>
        <v>30</v>
      </c>
      <c r="E24" s="56">
        <f>'выполнение объема услуг'!G77</f>
        <v>29</v>
      </c>
      <c r="F24" s="56">
        <f>'выполнение объема услуг'!H77</f>
        <v>1</v>
      </c>
      <c r="G24" s="56">
        <f>'выполнение объема услуг'!I77</f>
        <v>0</v>
      </c>
      <c r="H24" s="56">
        <v>31</v>
      </c>
      <c r="I24" s="56">
        <f t="shared" si="7"/>
        <v>29</v>
      </c>
      <c r="J24" s="56">
        <f t="shared" ref="J24:J25" si="21">MROUND(H24*5%,1)</f>
        <v>2</v>
      </c>
      <c r="K24" s="56">
        <f t="shared" ref="K24:K25" si="22">H24-I24-J24</f>
        <v>0</v>
      </c>
      <c r="L24" s="56">
        <f t="shared" ref="L24:L25" si="23">D24-H24</f>
        <v>-1</v>
      </c>
      <c r="M24" s="119">
        <f>[1]субсидия!$E$15</f>
        <v>146321.59396482434</v>
      </c>
      <c r="N24" s="109">
        <v>0</v>
      </c>
      <c r="O24" s="109">
        <f t="shared" si="18"/>
        <v>146321.59396482434</v>
      </c>
      <c r="P24" s="109">
        <f>9068416.51/14957297.87*M24</f>
        <v>88712.892529974706</v>
      </c>
      <c r="Q24" s="109">
        <f>M24-N24-P24</f>
        <v>57608.70143484963</v>
      </c>
      <c r="R24" s="109">
        <f t="shared" ref="R24:R25" si="24">O24*L24</f>
        <v>-146321.59396482434</v>
      </c>
      <c r="S24" s="93">
        <f>P24*G24</f>
        <v>0</v>
      </c>
      <c r="T24" s="91">
        <f>Q24*G24</f>
        <v>0</v>
      </c>
    </row>
    <row r="25" spans="1:24" ht="18" customHeight="1" thickBot="1" x14ac:dyDescent="0.3">
      <c r="A25" s="229"/>
      <c r="B25" s="230"/>
      <c r="C25" s="126" t="s">
        <v>17</v>
      </c>
      <c r="D25" s="56">
        <f>'выполнение объема услуг'!F78</f>
        <v>130</v>
      </c>
      <c r="E25" s="56">
        <f>'выполнение объема услуг'!G78</f>
        <v>121</v>
      </c>
      <c r="F25" s="56">
        <v>7</v>
      </c>
      <c r="G25" s="56">
        <f>'выполнение объема услуг'!I78</f>
        <v>2</v>
      </c>
      <c r="H25" s="146">
        <v>127</v>
      </c>
      <c r="I25" s="146">
        <f t="shared" si="7"/>
        <v>121</v>
      </c>
      <c r="J25" s="146">
        <f t="shared" si="21"/>
        <v>6</v>
      </c>
      <c r="K25" s="146">
        <f t="shared" si="22"/>
        <v>0</v>
      </c>
      <c r="L25" s="146">
        <f t="shared" si="23"/>
        <v>3</v>
      </c>
      <c r="M25" s="120">
        <f>[1]субсидия!$E$16</f>
        <v>97944.958840267092</v>
      </c>
      <c r="N25" s="122">
        <v>0</v>
      </c>
      <c r="O25" s="122">
        <f t="shared" si="18"/>
        <v>97944.958840267092</v>
      </c>
      <c r="P25" s="109">
        <f>9068416.51/14957297.87*M25</f>
        <v>59382.763486968564</v>
      </c>
      <c r="Q25" s="122">
        <f>M25-N25-P25</f>
        <v>38562.195353298528</v>
      </c>
      <c r="R25" s="122">
        <f t="shared" si="24"/>
        <v>293834.87652080128</v>
      </c>
      <c r="S25" s="112">
        <f>P25*G25</f>
        <v>118765.52697393713</v>
      </c>
      <c r="T25" s="113">
        <f>Q25*G25</f>
        <v>77124.390706597056</v>
      </c>
    </row>
    <row r="26" spans="1:24" ht="12.75" customHeight="1" x14ac:dyDescent="0.25">
      <c r="A26" s="226" t="s">
        <v>19</v>
      </c>
      <c r="B26" s="227" t="s">
        <v>13</v>
      </c>
      <c r="C26" s="227"/>
      <c r="D26" s="127"/>
      <c r="E26" s="127"/>
      <c r="F26" s="127"/>
      <c r="G26" s="127"/>
      <c r="H26" s="127"/>
      <c r="I26" s="127">
        <f t="shared" si="7"/>
        <v>0</v>
      </c>
      <c r="J26" s="127"/>
      <c r="K26" s="127"/>
      <c r="L26" s="127"/>
      <c r="M26" s="127"/>
      <c r="N26" s="127"/>
      <c r="O26" s="127"/>
      <c r="P26" s="127"/>
      <c r="Q26" s="136"/>
      <c r="R26" s="127">
        <f>R27+R31</f>
        <v>791630.00702639599</v>
      </c>
      <c r="S26" s="88">
        <f>S27+S31</f>
        <v>335378.35322162008</v>
      </c>
      <c r="T26" s="88">
        <f>T27+T31</f>
        <v>403410.45116877044</v>
      </c>
      <c r="V26" s="138">
        <f>W18+R49</f>
        <v>1293852.611802347</v>
      </c>
    </row>
    <row r="27" spans="1:24" ht="12.75" customHeight="1" x14ac:dyDescent="0.25">
      <c r="A27" s="226"/>
      <c r="B27" s="226" t="s">
        <v>14</v>
      </c>
      <c r="C27" s="123" t="s">
        <v>7</v>
      </c>
      <c r="D27" s="129">
        <f>SUM(D28:D30)</f>
        <v>193</v>
      </c>
      <c r="E27" s="129">
        <f>SUM(E28:E30)</f>
        <v>179</v>
      </c>
      <c r="F27" s="129">
        <f>SUM(F28:F30)</f>
        <v>10</v>
      </c>
      <c r="G27" s="129">
        <f>SUM(G28:G30)</f>
        <v>4</v>
      </c>
      <c r="H27" s="129">
        <f>SUM(H28:H30)</f>
        <v>188</v>
      </c>
      <c r="I27" s="129">
        <f t="shared" ref="I27" si="25">SUM(I28:I30)</f>
        <v>179</v>
      </c>
      <c r="J27" s="129">
        <f t="shared" ref="J27" si="26">SUM(J28:J30)</f>
        <v>9</v>
      </c>
      <c r="K27" s="129">
        <f t="shared" ref="K27" si="27">SUM(K28:K30)</f>
        <v>0</v>
      </c>
      <c r="L27" s="129">
        <f t="shared" ref="L27" si="28">SUM(L28:L30)</f>
        <v>5</v>
      </c>
      <c r="M27" s="121"/>
      <c r="N27" s="121"/>
      <c r="O27" s="121"/>
      <c r="P27" s="121"/>
      <c r="Q27" s="137"/>
      <c r="R27" s="121">
        <f>SUM(R28:R30)</f>
        <v>264206.0131800276</v>
      </c>
      <c r="S27" s="89">
        <f>SUM(S28:S30)</f>
        <v>0</v>
      </c>
      <c r="T27" s="89">
        <f>SUM(T28:T30)</f>
        <v>211364.81054402207</v>
      </c>
      <c r="V27">
        <v>162300.6</v>
      </c>
    </row>
    <row r="28" spans="1:24" ht="12.75" customHeight="1" x14ac:dyDescent="0.25">
      <c r="A28" s="226"/>
      <c r="B28" s="226"/>
      <c r="C28" s="68" t="s">
        <v>41</v>
      </c>
      <c r="D28" s="56">
        <f>'выполнение объема услуг'!F81</f>
        <v>0</v>
      </c>
      <c r="E28" s="56">
        <f>'выполнение объема услуг'!G81</f>
        <v>0</v>
      </c>
      <c r="F28" s="56">
        <f>'выполнение объема услуг'!H81</f>
        <v>0</v>
      </c>
      <c r="G28" s="56">
        <f>'выполнение объема услуг'!I81</f>
        <v>0</v>
      </c>
      <c r="H28" s="56">
        <v>0</v>
      </c>
      <c r="I28" s="56">
        <f t="shared" si="7"/>
        <v>0</v>
      </c>
      <c r="J28" s="56">
        <f t="shared" ref="J28:J30" si="29">MROUND(H28*5%,1)</f>
        <v>0</v>
      </c>
      <c r="K28" s="56">
        <f t="shared" ref="K28:K30" si="30">H28-I28-J28</f>
        <v>0</v>
      </c>
      <c r="L28" s="56">
        <f t="shared" ref="L28:L30" si="31">D28-H28</f>
        <v>0</v>
      </c>
      <c r="M28" s="119">
        <f>[1]субсидия!$E$26</f>
        <v>155182.99863600553</v>
      </c>
      <c r="N28" s="109">
        <v>0</v>
      </c>
      <c r="O28" s="109">
        <f>SUM(P28:Q28)</f>
        <v>155182.99863600553</v>
      </c>
      <c r="P28" s="109">
        <v>0</v>
      </c>
      <c r="Q28" s="109">
        <f>M28-N28-P28</f>
        <v>155182.99863600553</v>
      </c>
      <c r="R28" s="109">
        <f t="shared" ref="R28:R30" si="32">O28*L28</f>
        <v>0</v>
      </c>
      <c r="S28" s="90"/>
      <c r="T28" s="91">
        <v>0</v>
      </c>
      <c r="V28" s="132">
        <f>V26-V27</f>
        <v>1131552.0118023469</v>
      </c>
    </row>
    <row r="29" spans="1:24" ht="36.75" customHeight="1" x14ac:dyDescent="0.25">
      <c r="A29" s="226"/>
      <c r="B29" s="226"/>
      <c r="C29" s="68" t="s">
        <v>60</v>
      </c>
      <c r="D29" s="56">
        <f>'выполнение объема услуг'!F82</f>
        <v>1</v>
      </c>
      <c r="E29" s="56">
        <f>'выполнение объема услуг'!G82</f>
        <v>1</v>
      </c>
      <c r="F29" s="56">
        <f>'выполнение объема услуг'!H82</f>
        <v>0</v>
      </c>
      <c r="G29" s="56">
        <f>'выполнение объема услуг'!I82</f>
        <v>0</v>
      </c>
      <c r="H29" s="56">
        <v>1</v>
      </c>
      <c r="I29" s="56">
        <f t="shared" si="7"/>
        <v>1</v>
      </c>
      <c r="J29" s="56">
        <f t="shared" si="29"/>
        <v>0</v>
      </c>
      <c r="K29" s="56">
        <f t="shared" si="30"/>
        <v>0</v>
      </c>
      <c r="L29" s="56">
        <f t="shared" si="31"/>
        <v>0</v>
      </c>
      <c r="M29" s="119">
        <f>[1]субсидия!$E$27</f>
        <v>75325.202636005517</v>
      </c>
      <c r="N29" s="109">
        <v>0</v>
      </c>
      <c r="O29" s="109">
        <f t="shared" ref="O29:O33" si="33">SUM(P29:Q29)</f>
        <v>75325.202636005517</v>
      </c>
      <c r="P29" s="109">
        <v>0</v>
      </c>
      <c r="Q29" s="109">
        <f>M29-N29-P29</f>
        <v>75325.202636005517</v>
      </c>
      <c r="R29" s="109">
        <f t="shared" si="32"/>
        <v>0</v>
      </c>
      <c r="S29" s="90"/>
      <c r="T29" s="91">
        <v>0</v>
      </c>
    </row>
    <row r="30" spans="1:24" ht="36.75" customHeight="1" x14ac:dyDescent="0.25">
      <c r="A30" s="226"/>
      <c r="B30" s="226"/>
      <c r="C30" s="124" t="s">
        <v>61</v>
      </c>
      <c r="D30" s="56">
        <f>'выполнение объема услуг'!F83</f>
        <v>192</v>
      </c>
      <c r="E30" s="56">
        <f>'выполнение объема услуг'!G83</f>
        <v>178</v>
      </c>
      <c r="F30" s="56">
        <f>'выполнение объема услуг'!H83</f>
        <v>10</v>
      </c>
      <c r="G30" s="56">
        <f>'выполнение объема услуг'!I83</f>
        <v>4</v>
      </c>
      <c r="H30" s="56">
        <v>187</v>
      </c>
      <c r="I30" s="56">
        <f t="shared" si="7"/>
        <v>178</v>
      </c>
      <c r="J30" s="56">
        <f t="shared" si="29"/>
        <v>9</v>
      </c>
      <c r="K30" s="56">
        <f t="shared" si="30"/>
        <v>0</v>
      </c>
      <c r="L30" s="56">
        <f t="shared" si="31"/>
        <v>5</v>
      </c>
      <c r="M30" s="119">
        <f>[1]субсидия!$E$28</f>
        <v>75325.202636005517</v>
      </c>
      <c r="N30" s="109">
        <f>154*146</f>
        <v>22484</v>
      </c>
      <c r="O30" s="109">
        <f t="shared" si="33"/>
        <v>52841.202636005517</v>
      </c>
      <c r="P30" s="109">
        <v>0</v>
      </c>
      <c r="Q30" s="109">
        <f>M30-N30-P30</f>
        <v>52841.202636005517</v>
      </c>
      <c r="R30" s="109">
        <f t="shared" si="32"/>
        <v>264206.0131800276</v>
      </c>
      <c r="S30" s="90"/>
      <c r="T30" s="91">
        <f>G30*Q30</f>
        <v>211364.81054402207</v>
      </c>
    </row>
    <row r="31" spans="1:24" ht="12.75" customHeight="1" x14ac:dyDescent="0.25">
      <c r="A31" s="226"/>
      <c r="B31" s="226" t="s">
        <v>15</v>
      </c>
      <c r="C31" s="13" t="s">
        <v>7</v>
      </c>
      <c r="D31" s="129">
        <f>SUM(D32:D33)</f>
        <v>193</v>
      </c>
      <c r="E31" s="129">
        <f>SUM(E32:E33)</f>
        <v>179</v>
      </c>
      <c r="F31" s="129">
        <f>SUM(F32:F33)</f>
        <v>9</v>
      </c>
      <c r="G31" s="129">
        <f>SUM(G32:G33)</f>
        <v>5</v>
      </c>
      <c r="H31" s="129">
        <f t="shared" ref="H31" si="34">SUM(H32:H33)</f>
        <v>188</v>
      </c>
      <c r="I31" s="129">
        <f t="shared" ref="I31" si="35">SUM(I32:I33)</f>
        <v>179</v>
      </c>
      <c r="J31" s="129">
        <f t="shared" ref="J31" si="36">SUM(J32:J33)</f>
        <v>9</v>
      </c>
      <c r="K31" s="129">
        <f t="shared" ref="K31" si="37">SUM(K32:K33)</f>
        <v>0</v>
      </c>
      <c r="L31" s="129">
        <f t="shared" ref="L31" si="38">SUM(L32:L33)</f>
        <v>5</v>
      </c>
      <c r="M31" s="123"/>
      <c r="N31" s="121"/>
      <c r="O31" s="121">
        <f t="shared" si="33"/>
        <v>0</v>
      </c>
      <c r="P31" s="121"/>
      <c r="Q31" s="121"/>
      <c r="R31" s="121">
        <f>SUM(R32:R33)</f>
        <v>527423.99384636839</v>
      </c>
      <c r="S31" s="92">
        <f>SUM(S32:S33)</f>
        <v>335378.35322162008</v>
      </c>
      <c r="T31" s="89">
        <f>SUM(T32:T33)</f>
        <v>192045.64062474834</v>
      </c>
      <c r="W31" s="132">
        <f>R26+R18+R10</f>
        <v>1293852.611802347</v>
      </c>
    </row>
    <row r="32" spans="1:24" ht="20.25" customHeight="1" x14ac:dyDescent="0.25">
      <c r="A32" s="226"/>
      <c r="B32" s="226"/>
      <c r="C32" s="125" t="s">
        <v>16</v>
      </c>
      <c r="D32" s="56">
        <f>'выполнение объема услуг'!F85</f>
        <v>33</v>
      </c>
      <c r="E32" s="56">
        <f>'выполнение объема услуг'!G85</f>
        <v>32</v>
      </c>
      <c r="F32" s="56">
        <f>'выполнение объема услуг'!H85</f>
        <v>1</v>
      </c>
      <c r="G32" s="56">
        <f>'выполнение объема услуг'!I85</f>
        <v>0</v>
      </c>
      <c r="H32" s="56">
        <v>33</v>
      </c>
      <c r="I32" s="56">
        <f t="shared" si="7"/>
        <v>32</v>
      </c>
      <c r="J32" s="56">
        <v>1</v>
      </c>
      <c r="K32" s="56">
        <f>H32-I32-J32</f>
        <v>0</v>
      </c>
      <c r="L32" s="56">
        <f>D32-H32</f>
        <v>0</v>
      </c>
      <c r="M32" s="119">
        <f>[1]субсидия!$E$23</f>
        <v>148987.99389383092</v>
      </c>
      <c r="N32" s="109">
        <v>0</v>
      </c>
      <c r="O32" s="109">
        <f t="shared" si="33"/>
        <v>148987.99389383092</v>
      </c>
      <c r="P32" s="109">
        <f>11781652.55/18528107.68*M32</f>
        <v>94738.481041612642</v>
      </c>
      <c r="Q32" s="109">
        <f>M32-N32-P32</f>
        <v>54249.512852218279</v>
      </c>
      <c r="R32" s="109">
        <f t="shared" ref="R32:R33" si="39">O32*L32</f>
        <v>0</v>
      </c>
      <c r="S32" s="93">
        <f>P32*G32</f>
        <v>0</v>
      </c>
      <c r="T32" s="91">
        <f>Q32*G32</f>
        <v>0</v>
      </c>
      <c r="W32">
        <f>1177230-386000</f>
        <v>791230</v>
      </c>
      <c r="X32" t="s">
        <v>79</v>
      </c>
    </row>
    <row r="33" spans="1:24" ht="20.25" customHeight="1" x14ac:dyDescent="0.25">
      <c r="A33" s="226"/>
      <c r="B33" s="226"/>
      <c r="C33" s="125" t="s">
        <v>17</v>
      </c>
      <c r="D33" s="56">
        <f>'выполнение объема услуг'!F86</f>
        <v>160</v>
      </c>
      <c r="E33" s="56">
        <f>'выполнение объема услуг'!G86</f>
        <v>147</v>
      </c>
      <c r="F33" s="56">
        <f>'выполнение объема услуг'!H86</f>
        <v>8</v>
      </c>
      <c r="G33" s="56">
        <f>'выполнение объема услуг'!I86</f>
        <v>5</v>
      </c>
      <c r="H33" s="56">
        <v>155</v>
      </c>
      <c r="I33" s="56">
        <f t="shared" si="7"/>
        <v>147</v>
      </c>
      <c r="J33" s="56">
        <v>8</v>
      </c>
      <c r="K33" s="56">
        <f>H33-I33-J33</f>
        <v>0</v>
      </c>
      <c r="L33" s="56">
        <f t="shared" ref="L33" si="40">D33-H33</f>
        <v>5</v>
      </c>
      <c r="M33" s="119">
        <f>[1]субсидия!$E$24</f>
        <v>105484.79876927368</v>
      </c>
      <c r="N33" s="109">
        <v>0</v>
      </c>
      <c r="O33" s="109">
        <f t="shared" si="33"/>
        <v>105484.79876927368</v>
      </c>
      <c r="P33" s="109">
        <f>11781652.55/18528107.68*M33</f>
        <v>67075.670644324011</v>
      </c>
      <c r="Q33" s="109">
        <f>M33-N33-P33</f>
        <v>38409.128124949668</v>
      </c>
      <c r="R33" s="109">
        <f t="shared" si="39"/>
        <v>527423.99384636839</v>
      </c>
      <c r="S33" s="112">
        <f>P33*G33</f>
        <v>335378.35322162008</v>
      </c>
      <c r="T33" s="113">
        <f>Q33*G33</f>
        <v>192045.64062474834</v>
      </c>
      <c r="W33">
        <v>80000</v>
      </c>
      <c r="X33" t="s">
        <v>78</v>
      </c>
    </row>
    <row r="34" spans="1:24" ht="18" hidden="1" customHeight="1" x14ac:dyDescent="0.25">
      <c r="A34" s="218" t="s">
        <v>27</v>
      </c>
      <c r="B34" s="142" t="s">
        <v>72</v>
      </c>
      <c r="C34" s="126"/>
      <c r="D34" s="129">
        <f>D35+D49</f>
        <v>187680</v>
      </c>
      <c r="E34" s="129">
        <f t="shared" ref="E34:K34" si="41">E35+E49</f>
        <v>178295</v>
      </c>
      <c r="F34" s="129">
        <f t="shared" si="41"/>
        <v>10133</v>
      </c>
      <c r="G34" s="129">
        <f t="shared" si="41"/>
        <v>0</v>
      </c>
      <c r="H34" s="129">
        <f t="shared" si="41"/>
        <v>187680</v>
      </c>
      <c r="I34" s="147">
        <f t="shared" si="41"/>
        <v>178295</v>
      </c>
      <c r="J34" s="147">
        <f t="shared" si="41"/>
        <v>9385</v>
      </c>
      <c r="K34" s="147">
        <f t="shared" si="41"/>
        <v>0</v>
      </c>
      <c r="L34" s="147">
        <f>L35+L49</f>
        <v>0</v>
      </c>
      <c r="M34" s="143"/>
      <c r="N34" s="144"/>
      <c r="O34" s="144"/>
      <c r="P34" s="121"/>
      <c r="Q34" s="144"/>
      <c r="R34" s="144">
        <f t="shared" ref="R34" si="42">R35+R49</f>
        <v>0</v>
      </c>
      <c r="S34" s="112"/>
      <c r="T34" s="141"/>
      <c r="U34" s="155">
        <v>2108660</v>
      </c>
      <c r="V34" s="132">
        <f>R34-U34</f>
        <v>-2108660</v>
      </c>
      <c r="W34">
        <v>155000</v>
      </c>
      <c r="X34" t="s">
        <v>80</v>
      </c>
    </row>
    <row r="35" spans="1:24" ht="51" hidden="1" customHeight="1" x14ac:dyDescent="0.25">
      <c r="A35" s="219"/>
      <c r="B35" s="108" t="s">
        <v>20</v>
      </c>
      <c r="C35" s="114"/>
      <c r="D35" s="97">
        <f>SUM(D36:D41)</f>
        <v>98236</v>
      </c>
      <c r="E35" s="97">
        <f>SUM(E36:E41)</f>
        <v>93324</v>
      </c>
      <c r="F35" s="97">
        <f>SUM(F36:F41)</f>
        <v>4912</v>
      </c>
      <c r="G35" s="97">
        <f>SUM(G36:G41)</f>
        <v>0</v>
      </c>
      <c r="H35" s="97">
        <f t="shared" ref="H35:L35" si="43">SUM(H36:H41)</f>
        <v>98236</v>
      </c>
      <c r="I35" s="97">
        <f t="shared" si="43"/>
        <v>93324</v>
      </c>
      <c r="J35" s="97">
        <f t="shared" si="43"/>
        <v>4912</v>
      </c>
      <c r="K35" s="97">
        <f t="shared" si="43"/>
        <v>0</v>
      </c>
      <c r="L35" s="97">
        <f t="shared" si="43"/>
        <v>0</v>
      </c>
      <c r="M35" s="115"/>
      <c r="N35" s="115"/>
      <c r="O35" s="115"/>
      <c r="P35" s="115"/>
      <c r="Q35" s="115">
        <f t="shared" ref="Q35:Q41" si="44">M35-N35-P35</f>
        <v>0</v>
      </c>
      <c r="R35" s="97">
        <f>SUM(R36:R41)</f>
        <v>0</v>
      </c>
      <c r="S35" s="116"/>
      <c r="T35" s="97">
        <f>SUM(T36:T41)</f>
        <v>0</v>
      </c>
      <c r="W35" s="132">
        <f>W31-W32-W33-W34</f>
        <v>267622.611802347</v>
      </c>
    </row>
    <row r="36" spans="1:24" ht="36.75" hidden="1" customHeight="1" x14ac:dyDescent="0.25">
      <c r="A36" s="219"/>
      <c r="B36" s="107" t="s">
        <v>21</v>
      </c>
      <c r="C36" s="94"/>
      <c r="D36" s="56">
        <f>'выполнение объема услуг'!F89</f>
        <v>40438</v>
      </c>
      <c r="E36" s="56">
        <f>'выполнение объема услуг'!G89</f>
        <v>38416</v>
      </c>
      <c r="F36" s="56">
        <f>'выполнение объема услуг'!H89</f>
        <v>2022</v>
      </c>
      <c r="G36" s="56">
        <f>'выполнение объема услуг'!I89</f>
        <v>0</v>
      </c>
      <c r="H36" s="129">
        <f>38416+2022</f>
        <v>40438</v>
      </c>
      <c r="I36" s="56">
        <f t="shared" si="7"/>
        <v>38416</v>
      </c>
      <c r="J36" s="56">
        <f t="shared" ref="J36:J41" si="45">MROUND(H36*5%,1)</f>
        <v>2022</v>
      </c>
      <c r="K36" s="56">
        <f t="shared" ref="K36:K41" si="46">H36-I36-J36</f>
        <v>0</v>
      </c>
      <c r="L36" s="56">
        <f>D36-H36</f>
        <v>0</v>
      </c>
      <c r="M36" s="157">
        <f>[2]субсидия!$G$7</f>
        <v>105.64783611083439</v>
      </c>
      <c r="N36" s="109">
        <v>0</v>
      </c>
      <c r="O36" s="109">
        <f>SUM(P36:Q36)</f>
        <v>105.64783611083439</v>
      </c>
      <c r="P36" s="109">
        <v>0</v>
      </c>
      <c r="Q36" s="109">
        <f t="shared" si="44"/>
        <v>105.64783611083439</v>
      </c>
      <c r="R36" s="109">
        <f t="shared" ref="R36:R41" si="47">O36*L36</f>
        <v>0</v>
      </c>
      <c r="S36" s="110"/>
      <c r="T36" s="109">
        <f t="shared" ref="T36:T41" si="48">G36*Q36</f>
        <v>0</v>
      </c>
    </row>
    <row r="37" spans="1:24" ht="41.25" hidden="1" customHeight="1" x14ac:dyDescent="0.25">
      <c r="A37" s="219"/>
      <c r="B37" s="107" t="s">
        <v>22</v>
      </c>
      <c r="C37" s="94"/>
      <c r="D37" s="56">
        <f>'выполнение объема услуг'!F90</f>
        <v>0</v>
      </c>
      <c r="E37" s="56">
        <f>'выполнение объема услуг'!G90</f>
        <v>0</v>
      </c>
      <c r="F37" s="56">
        <f>'выполнение объема услуг'!H90</f>
        <v>0</v>
      </c>
      <c r="G37" s="56">
        <f>'выполнение объема услуг'!I90</f>
        <v>0</v>
      </c>
      <c r="H37" s="129"/>
      <c r="I37" s="56">
        <f t="shared" si="7"/>
        <v>0</v>
      </c>
      <c r="J37" s="56">
        <f t="shared" si="45"/>
        <v>0</v>
      </c>
      <c r="K37" s="56">
        <f t="shared" si="46"/>
        <v>0</v>
      </c>
      <c r="L37" s="56">
        <f t="shared" ref="L37:L41" si="49">D37-H37</f>
        <v>0</v>
      </c>
      <c r="M37" s="157">
        <f>[2]субсидия!$G$7</f>
        <v>105.64783611083439</v>
      </c>
      <c r="N37" s="109">
        <v>0</v>
      </c>
      <c r="O37" s="109">
        <f t="shared" ref="O37:O41" si="50">SUM(P37:Q37)</f>
        <v>105.64783611083439</v>
      </c>
      <c r="P37" s="109">
        <v>0</v>
      </c>
      <c r="Q37" s="109">
        <f t="shared" si="44"/>
        <v>105.64783611083439</v>
      </c>
      <c r="R37" s="109">
        <f t="shared" si="47"/>
        <v>0</v>
      </c>
      <c r="S37" s="110"/>
      <c r="T37" s="109">
        <f t="shared" si="48"/>
        <v>0</v>
      </c>
    </row>
    <row r="38" spans="1:24" ht="23.25" hidden="1" customHeight="1" x14ac:dyDescent="0.25">
      <c r="A38" s="219"/>
      <c r="B38" s="107" t="s">
        <v>23</v>
      </c>
      <c r="C38" s="94"/>
      <c r="D38" s="56">
        <f>'выполнение объема услуг'!F91</f>
        <v>0</v>
      </c>
      <c r="E38" s="56">
        <f>'выполнение объема услуг'!G91</f>
        <v>0</v>
      </c>
      <c r="F38" s="56">
        <f>'выполнение объема услуг'!H91</f>
        <v>0</v>
      </c>
      <c r="G38" s="56">
        <f>'выполнение объема услуг'!I91</f>
        <v>0</v>
      </c>
      <c r="H38" s="129">
        <v>0</v>
      </c>
      <c r="I38" s="56">
        <f t="shared" si="7"/>
        <v>0</v>
      </c>
      <c r="J38" s="56">
        <f t="shared" si="45"/>
        <v>0</v>
      </c>
      <c r="K38" s="56">
        <f t="shared" si="46"/>
        <v>0</v>
      </c>
      <c r="L38" s="56">
        <f t="shared" si="49"/>
        <v>0</v>
      </c>
      <c r="M38" s="157">
        <f>[2]субсидия!$G$8</f>
        <v>119.52656057644134</v>
      </c>
      <c r="N38" s="109">
        <v>0</v>
      </c>
      <c r="O38" s="109">
        <f t="shared" si="50"/>
        <v>119.52656057644134</v>
      </c>
      <c r="P38" s="109">
        <v>0</v>
      </c>
      <c r="Q38" s="109">
        <f t="shared" si="44"/>
        <v>119.52656057644134</v>
      </c>
      <c r="R38" s="109">
        <f t="shared" si="47"/>
        <v>0</v>
      </c>
      <c r="S38" s="110"/>
      <c r="T38" s="109">
        <f t="shared" si="48"/>
        <v>0</v>
      </c>
    </row>
    <row r="39" spans="1:24" ht="37.5" hidden="1" customHeight="1" x14ac:dyDescent="0.25">
      <c r="A39" s="219"/>
      <c r="B39" s="107" t="s">
        <v>24</v>
      </c>
      <c r="C39" s="94"/>
      <c r="D39" s="56">
        <f>'выполнение объема услуг'!F92</f>
        <v>4232</v>
      </c>
      <c r="E39" s="56">
        <f>'выполнение объема услуг'!G92</f>
        <v>4020</v>
      </c>
      <c r="F39" s="56">
        <f>'выполнение объема услуг'!H92</f>
        <v>212</v>
      </c>
      <c r="G39" s="56">
        <f>'выполнение объема услуг'!I92</f>
        <v>0</v>
      </c>
      <c r="H39" s="129">
        <v>4232</v>
      </c>
      <c r="I39" s="56">
        <f t="shared" si="7"/>
        <v>4020</v>
      </c>
      <c r="J39" s="56">
        <f t="shared" si="45"/>
        <v>212</v>
      </c>
      <c r="K39" s="56">
        <f t="shared" si="46"/>
        <v>0</v>
      </c>
      <c r="L39" s="56">
        <f t="shared" si="49"/>
        <v>0</v>
      </c>
      <c r="M39" s="157">
        <f>[2]субсидия!$G$9</f>
        <v>120.71552555414323</v>
      </c>
      <c r="N39" s="109">
        <v>0</v>
      </c>
      <c r="O39" s="109">
        <f t="shared" si="50"/>
        <v>120.71552555414323</v>
      </c>
      <c r="P39" s="109">
        <v>0</v>
      </c>
      <c r="Q39" s="109">
        <f t="shared" si="44"/>
        <v>120.71552555414323</v>
      </c>
      <c r="R39" s="109">
        <f t="shared" si="47"/>
        <v>0</v>
      </c>
      <c r="S39" s="110"/>
      <c r="T39" s="109">
        <f t="shared" si="48"/>
        <v>0</v>
      </c>
    </row>
    <row r="40" spans="1:24" ht="24.75" hidden="1" customHeight="1" x14ac:dyDescent="0.25">
      <c r="A40" s="219"/>
      <c r="B40" s="107" t="s">
        <v>25</v>
      </c>
      <c r="C40" s="94"/>
      <c r="D40" s="56">
        <f>'выполнение объема услуг'!F93</f>
        <v>14366</v>
      </c>
      <c r="E40" s="56">
        <f>'выполнение объема услуг'!G93</f>
        <v>13648</v>
      </c>
      <c r="F40" s="56">
        <f>'выполнение объема услуг'!H93</f>
        <v>718</v>
      </c>
      <c r="G40" s="56">
        <f>'выполнение объема услуг'!I93</f>
        <v>0</v>
      </c>
      <c r="H40" s="129">
        <v>14366</v>
      </c>
      <c r="I40" s="56">
        <f t="shared" si="7"/>
        <v>13648</v>
      </c>
      <c r="J40" s="56">
        <f t="shared" si="45"/>
        <v>718</v>
      </c>
      <c r="K40" s="56">
        <f t="shared" si="46"/>
        <v>0</v>
      </c>
      <c r="L40" s="56">
        <f t="shared" si="49"/>
        <v>0</v>
      </c>
      <c r="M40" s="157">
        <f>[2]субсидия!$G$10</f>
        <v>120.27552555414323</v>
      </c>
      <c r="N40" s="109">
        <v>0</v>
      </c>
      <c r="O40" s="109">
        <f t="shared" si="50"/>
        <v>120.27552555414323</v>
      </c>
      <c r="P40" s="109">
        <v>0</v>
      </c>
      <c r="Q40" s="109">
        <f t="shared" si="44"/>
        <v>120.27552555414323</v>
      </c>
      <c r="R40" s="109">
        <f t="shared" si="47"/>
        <v>0</v>
      </c>
      <c r="S40" s="110"/>
      <c r="T40" s="109">
        <f t="shared" si="48"/>
        <v>0</v>
      </c>
    </row>
    <row r="41" spans="1:24" ht="25.5" hidden="1" customHeight="1" x14ac:dyDescent="0.25">
      <c r="A41" s="219"/>
      <c r="B41" s="107" t="s">
        <v>26</v>
      </c>
      <c r="C41" s="94"/>
      <c r="D41" s="56">
        <f>'выполнение объема услуг'!F94</f>
        <v>39200</v>
      </c>
      <c r="E41" s="56">
        <f>'выполнение объема услуг'!G94</f>
        <v>37240</v>
      </c>
      <c r="F41" s="56">
        <f>'выполнение объема услуг'!H94</f>
        <v>1960</v>
      </c>
      <c r="G41" s="56">
        <f>'выполнение объема услуг'!I94</f>
        <v>0</v>
      </c>
      <c r="H41" s="129">
        <v>39200</v>
      </c>
      <c r="I41" s="56">
        <f t="shared" si="7"/>
        <v>37240</v>
      </c>
      <c r="J41" s="56">
        <f t="shared" si="45"/>
        <v>1960</v>
      </c>
      <c r="K41" s="56">
        <f t="shared" si="46"/>
        <v>0</v>
      </c>
      <c r="L41" s="56">
        <f t="shared" si="49"/>
        <v>0</v>
      </c>
      <c r="M41" s="157">
        <f>[2]субсидия!$G$11</f>
        <v>120.27552555414323</v>
      </c>
      <c r="N41" s="109">
        <v>0</v>
      </c>
      <c r="O41" s="109">
        <f t="shared" si="50"/>
        <v>120.27552555414323</v>
      </c>
      <c r="P41" s="109">
        <v>0</v>
      </c>
      <c r="Q41" s="109">
        <f t="shared" si="44"/>
        <v>120.27552555414323</v>
      </c>
      <c r="R41" s="109">
        <f t="shared" si="47"/>
        <v>0</v>
      </c>
      <c r="S41" s="110"/>
      <c r="T41" s="109">
        <f t="shared" si="48"/>
        <v>0</v>
      </c>
    </row>
    <row r="42" spans="1:24" ht="81" hidden="1" customHeight="1" x14ac:dyDescent="0.25">
      <c r="A42" s="219"/>
      <c r="B42" s="108" t="s">
        <v>62</v>
      </c>
      <c r="C42" s="117"/>
      <c r="D42" s="97">
        <f>SUM(D43:D48)</f>
        <v>32960</v>
      </c>
      <c r="E42" s="97">
        <f t="shared" ref="E42:G42" si="51">SUM(E43:E48)</f>
        <v>16224</v>
      </c>
      <c r="F42" s="97">
        <f t="shared" si="51"/>
        <v>0</v>
      </c>
      <c r="G42" s="97">
        <f t="shared" si="51"/>
        <v>16736</v>
      </c>
      <c r="H42" s="97"/>
      <c r="I42" s="97">
        <f t="shared" si="7"/>
        <v>16224</v>
      </c>
      <c r="J42" s="97"/>
      <c r="K42" s="97"/>
      <c r="L42" s="97"/>
      <c r="M42" s="158"/>
      <c r="N42" s="102"/>
      <c r="O42" s="102"/>
      <c r="P42" s="102"/>
      <c r="Q42" s="97">
        <f t="shared" ref="Q42" si="52">SUM(Q43:Q48)</f>
        <v>0</v>
      </c>
      <c r="R42" s="97">
        <f t="shared" ref="R42" si="53">SUM(R43:R48)</f>
        <v>0</v>
      </c>
      <c r="S42" s="102"/>
      <c r="T42" s="97">
        <f t="shared" ref="T42" si="54">SUM(T43:T48)</f>
        <v>0</v>
      </c>
    </row>
    <row r="43" spans="1:24" ht="81" hidden="1" customHeight="1" x14ac:dyDescent="0.25">
      <c r="A43" s="219"/>
      <c r="B43" s="20" t="s">
        <v>21</v>
      </c>
      <c r="C43" s="106"/>
      <c r="D43" s="56">
        <f>'выполнение объема услуг'!F96</f>
        <v>5440</v>
      </c>
      <c r="E43" s="56">
        <f>'выполнение объема услуг'!G96</f>
        <v>2048</v>
      </c>
      <c r="F43" s="56" t="str">
        <f>'выполнение объема услуг'!H96</f>
        <v>х</v>
      </c>
      <c r="G43" s="56">
        <f>'выполнение объема услуг'!I96</f>
        <v>3392</v>
      </c>
      <c r="H43" s="129"/>
      <c r="I43" s="56">
        <f t="shared" si="7"/>
        <v>2048</v>
      </c>
      <c r="J43" s="56"/>
      <c r="K43" s="56"/>
      <c r="L43" s="56"/>
      <c r="M43" s="159"/>
      <c r="N43" s="13"/>
      <c r="O43" s="13"/>
      <c r="P43" s="13"/>
      <c r="Q43" s="13"/>
      <c r="R43" s="111"/>
      <c r="S43" s="13"/>
      <c r="T43" s="13"/>
    </row>
    <row r="44" spans="1:24" ht="81" hidden="1" customHeight="1" x14ac:dyDescent="0.25">
      <c r="A44" s="219"/>
      <c r="B44" s="20" t="s">
        <v>22</v>
      </c>
      <c r="C44" s="106"/>
      <c r="D44" s="56">
        <f>'выполнение объема услуг'!F97</f>
        <v>0</v>
      </c>
      <c r="E44" s="56">
        <f>'выполнение объема услуг'!G97</f>
        <v>0</v>
      </c>
      <c r="F44" s="56" t="str">
        <f>'выполнение объема услуг'!H97</f>
        <v>х</v>
      </c>
      <c r="G44" s="56">
        <f>'выполнение объема услуг'!I97</f>
        <v>0</v>
      </c>
      <c r="H44" s="129"/>
      <c r="I44" s="56">
        <f t="shared" si="7"/>
        <v>0</v>
      </c>
      <c r="J44" s="56"/>
      <c r="K44" s="56"/>
      <c r="L44" s="56"/>
      <c r="M44" s="13"/>
      <c r="N44" s="13"/>
      <c r="O44" s="13"/>
      <c r="P44" s="13"/>
      <c r="Q44" s="13"/>
      <c r="R44" s="111"/>
      <c r="S44" s="13"/>
      <c r="T44" s="13"/>
    </row>
    <row r="45" spans="1:24" ht="81" hidden="1" customHeight="1" x14ac:dyDescent="0.25">
      <c r="A45" s="219"/>
      <c r="B45" s="20" t="s">
        <v>23</v>
      </c>
      <c r="C45" s="106"/>
      <c r="D45" s="56">
        <f>'выполнение объема услуг'!F98</f>
        <v>4160</v>
      </c>
      <c r="E45" s="56">
        <f>'выполнение объема услуг'!G98</f>
        <v>2816</v>
      </c>
      <c r="F45" s="56" t="str">
        <f>'выполнение объема услуг'!H98</f>
        <v>х</v>
      </c>
      <c r="G45" s="56">
        <f>'выполнение объема услуг'!I98</f>
        <v>1344</v>
      </c>
      <c r="H45" s="129"/>
      <c r="I45" s="56">
        <f t="shared" si="7"/>
        <v>2816</v>
      </c>
      <c r="J45" s="56"/>
      <c r="K45" s="56"/>
      <c r="L45" s="56"/>
      <c r="M45" s="13"/>
      <c r="N45" s="13"/>
      <c r="O45" s="13"/>
      <c r="P45" s="13"/>
      <c r="Q45" s="13"/>
      <c r="R45" s="111"/>
      <c r="S45" s="13"/>
      <c r="T45" s="13"/>
    </row>
    <row r="46" spans="1:24" ht="81" hidden="1" customHeight="1" x14ac:dyDescent="0.25">
      <c r="A46" s="219"/>
      <c r="B46" s="20" t="s">
        <v>24</v>
      </c>
      <c r="C46" s="106"/>
      <c r="D46" s="56">
        <f>'выполнение объема услуг'!F99</f>
        <v>5440</v>
      </c>
      <c r="E46" s="56">
        <f>'выполнение объема услуг'!G99</f>
        <v>2080</v>
      </c>
      <c r="F46" s="56" t="str">
        <f>'выполнение объема услуг'!H99</f>
        <v>х</v>
      </c>
      <c r="G46" s="56">
        <f>'выполнение объема услуг'!I99</f>
        <v>3360</v>
      </c>
      <c r="H46" s="129"/>
      <c r="I46" s="56">
        <f t="shared" si="7"/>
        <v>2080</v>
      </c>
      <c r="J46" s="56"/>
      <c r="K46" s="56"/>
      <c r="L46" s="56"/>
      <c r="M46" s="13"/>
      <c r="N46" s="13"/>
      <c r="O46" s="13"/>
      <c r="P46" s="13"/>
      <c r="Q46" s="13"/>
      <c r="R46" s="111"/>
      <c r="S46" s="13"/>
      <c r="T46" s="13"/>
    </row>
    <row r="47" spans="1:24" ht="81" hidden="1" customHeight="1" x14ac:dyDescent="0.25">
      <c r="A47" s="219"/>
      <c r="B47" s="20" t="s">
        <v>25</v>
      </c>
      <c r="C47" s="106"/>
      <c r="D47" s="56">
        <f>'выполнение объема услуг'!F100</f>
        <v>3840</v>
      </c>
      <c r="E47" s="56">
        <f>'выполнение объема услуг'!G100</f>
        <v>2464</v>
      </c>
      <c r="F47" s="56" t="str">
        <f>'выполнение объема услуг'!H100</f>
        <v>х</v>
      </c>
      <c r="G47" s="56">
        <f>'выполнение объема услуг'!I100</f>
        <v>1376</v>
      </c>
      <c r="H47" s="129"/>
      <c r="I47" s="56">
        <f t="shared" si="7"/>
        <v>2464</v>
      </c>
      <c r="J47" s="56"/>
      <c r="K47" s="56"/>
      <c r="L47" s="56"/>
      <c r="M47" s="13"/>
      <c r="N47" s="13"/>
      <c r="O47" s="13"/>
      <c r="P47" s="13"/>
      <c r="Q47" s="13"/>
      <c r="R47" s="111"/>
      <c r="S47" s="13"/>
      <c r="T47" s="13"/>
    </row>
    <row r="48" spans="1:24" ht="81" hidden="1" customHeight="1" x14ac:dyDescent="0.25">
      <c r="A48" s="219"/>
      <c r="B48" s="20" t="s">
        <v>26</v>
      </c>
      <c r="C48" s="106"/>
      <c r="D48" s="56">
        <f>'выполнение объема услуг'!F101</f>
        <v>14080</v>
      </c>
      <c r="E48" s="56">
        <f>'выполнение объема услуг'!G101</f>
        <v>6816</v>
      </c>
      <c r="F48" s="56" t="str">
        <f>'выполнение объема услуг'!H101</f>
        <v>х</v>
      </c>
      <c r="G48" s="56">
        <f>'выполнение объема услуг'!I101</f>
        <v>7264</v>
      </c>
      <c r="H48" s="129"/>
      <c r="I48" s="56">
        <f t="shared" si="7"/>
        <v>6816</v>
      </c>
      <c r="J48" s="56"/>
      <c r="K48" s="56"/>
      <c r="L48" s="56"/>
      <c r="M48" s="13"/>
      <c r="N48" s="13"/>
      <c r="O48" s="13"/>
      <c r="P48" s="13"/>
      <c r="Q48" s="13"/>
      <c r="R48" s="111"/>
      <c r="S48" s="13"/>
      <c r="T48" s="13"/>
    </row>
    <row r="49" spans="1:26" ht="76.5" hidden="1" customHeight="1" x14ac:dyDescent="0.25">
      <c r="A49" s="219"/>
      <c r="B49" s="86" t="s">
        <v>63</v>
      </c>
      <c r="C49" s="106"/>
      <c r="D49" s="97">
        <f>SUM(D50:D51)</f>
        <v>89444</v>
      </c>
      <c r="E49" s="97">
        <f t="shared" ref="E49:L49" si="55">SUM(E50:E51)</f>
        <v>84971</v>
      </c>
      <c r="F49" s="97">
        <f t="shared" si="55"/>
        <v>5221</v>
      </c>
      <c r="G49" s="97">
        <f t="shared" si="55"/>
        <v>0</v>
      </c>
      <c r="H49" s="97">
        <f t="shared" si="55"/>
        <v>89444</v>
      </c>
      <c r="I49" s="97">
        <f t="shared" si="55"/>
        <v>84971</v>
      </c>
      <c r="J49" s="97">
        <f t="shared" si="55"/>
        <v>4473</v>
      </c>
      <c r="K49" s="97">
        <f>H49-I49-J49</f>
        <v>0</v>
      </c>
      <c r="L49" s="97">
        <f t="shared" si="55"/>
        <v>0</v>
      </c>
      <c r="M49" s="102"/>
      <c r="N49" s="102"/>
      <c r="O49" s="102"/>
      <c r="P49" s="102"/>
      <c r="Q49" s="97">
        <f t="shared" ref="Q49" si="56">SUM(Q50:Q51)</f>
        <v>373.02</v>
      </c>
      <c r="R49" s="115">
        <f t="shared" ref="R49" si="57">SUM(R50:R51)</f>
        <v>0</v>
      </c>
      <c r="S49" s="102"/>
      <c r="T49" s="97">
        <f t="shared" ref="T49" si="58">SUM(T50:T51)</f>
        <v>0</v>
      </c>
    </row>
    <row r="50" spans="1:26" ht="26.25" hidden="1" x14ac:dyDescent="0.25">
      <c r="A50" s="219"/>
      <c r="B50" s="3" t="s">
        <v>64</v>
      </c>
      <c r="C50" s="106"/>
      <c r="D50" s="56">
        <f>'выполнение объема услуг'!F103</f>
        <v>34552</v>
      </c>
      <c r="E50" s="56">
        <f>'выполнение объема услуг'!G103</f>
        <v>32824</v>
      </c>
      <c r="F50" s="56">
        <f>'выполнение объема услуг'!H103+825</f>
        <v>2553</v>
      </c>
      <c r="G50" s="56">
        <f>'выполнение объема услуг'!I103</f>
        <v>0</v>
      </c>
      <c r="H50" s="129">
        <v>34552</v>
      </c>
      <c r="I50" s="56">
        <f t="shared" si="7"/>
        <v>32824</v>
      </c>
      <c r="J50" s="56">
        <f>MROUND(H50*5%,1)</f>
        <v>1728</v>
      </c>
      <c r="K50" s="56">
        <f>H50-I50-J50</f>
        <v>0</v>
      </c>
      <c r="L50" s="56">
        <f>D50-H50</f>
        <v>0</v>
      </c>
      <c r="M50" s="145">
        <v>186.51</v>
      </c>
      <c r="N50" s="109">
        <v>0</v>
      </c>
      <c r="O50" s="109">
        <f t="shared" ref="O50:O51" si="59">SUM(P50:Q50)</f>
        <v>186.51</v>
      </c>
      <c r="P50" s="109">
        <v>0</v>
      </c>
      <c r="Q50" s="109">
        <f t="shared" ref="Q50:Q51" si="60">M50-N50-P50</f>
        <v>186.51</v>
      </c>
      <c r="R50" s="109">
        <f>O50*L50</f>
        <v>0</v>
      </c>
      <c r="S50" s="110"/>
      <c r="T50" s="109">
        <f t="shared" ref="T50:T51" si="61">G50*Q50</f>
        <v>0</v>
      </c>
      <c r="U50" s="156"/>
      <c r="V50" s="140"/>
      <c r="W50" s="34"/>
      <c r="X50" s="34"/>
      <c r="Y50" s="34"/>
      <c r="Z50" s="34"/>
    </row>
    <row r="51" spans="1:26" hidden="1" x14ac:dyDescent="0.25">
      <c r="A51" s="220"/>
      <c r="B51" s="3" t="s">
        <v>65</v>
      </c>
      <c r="C51" s="106"/>
      <c r="D51" s="56">
        <f>'выполнение объема услуг'!F104</f>
        <v>54892</v>
      </c>
      <c r="E51" s="56">
        <f>'выполнение объема услуг'!G104</f>
        <v>52147</v>
      </c>
      <c r="F51" s="56">
        <f>'выполнение объема услуг'!H104-77</f>
        <v>2668</v>
      </c>
      <c r="G51" s="56">
        <f>'выполнение объема услуг'!I104</f>
        <v>0</v>
      </c>
      <c r="H51" s="129">
        <v>54892</v>
      </c>
      <c r="I51" s="56">
        <f t="shared" si="7"/>
        <v>52147</v>
      </c>
      <c r="J51" s="56">
        <f>MROUND(H51*5%,1)</f>
        <v>2745</v>
      </c>
      <c r="K51" s="56">
        <f>H51-I51-J51</f>
        <v>0</v>
      </c>
      <c r="L51" s="56">
        <f t="shared" ref="L51" si="62">D51-H51</f>
        <v>0</v>
      </c>
      <c r="M51" s="145">
        <v>186.51</v>
      </c>
      <c r="N51" s="109">
        <v>0</v>
      </c>
      <c r="O51" s="109">
        <f t="shared" si="59"/>
        <v>186.51</v>
      </c>
      <c r="P51" s="109">
        <v>0</v>
      </c>
      <c r="Q51" s="109">
        <f t="shared" si="60"/>
        <v>186.51</v>
      </c>
      <c r="R51" s="109">
        <f>O51*L51</f>
        <v>0</v>
      </c>
      <c r="S51" s="110"/>
      <c r="T51" s="109">
        <f t="shared" si="61"/>
        <v>0</v>
      </c>
      <c r="U51" s="156"/>
      <c r="V51" s="140"/>
      <c r="W51" s="34"/>
      <c r="X51" s="34"/>
    </row>
    <row r="53" spans="1:26" x14ac:dyDescent="0.25">
      <c r="I53" s="47"/>
      <c r="K53" s="47"/>
    </row>
  </sheetData>
  <mergeCells count="31">
    <mergeCell ref="A3:T3"/>
    <mergeCell ref="A4:A8"/>
    <mergeCell ref="B4:B8"/>
    <mergeCell ref="M6:M8"/>
    <mergeCell ref="N6:Q6"/>
    <mergeCell ref="R6:R8"/>
    <mergeCell ref="C4:C8"/>
    <mergeCell ref="P7:Q7"/>
    <mergeCell ref="O7:O8"/>
    <mergeCell ref="N7:N8"/>
    <mergeCell ref="D6:G7"/>
    <mergeCell ref="H6:H8"/>
    <mergeCell ref="D4:L5"/>
    <mergeCell ref="I6:L7"/>
    <mergeCell ref="M4:T5"/>
    <mergeCell ref="A34:A51"/>
    <mergeCell ref="N1:T1"/>
    <mergeCell ref="S6:T7"/>
    <mergeCell ref="A26:A33"/>
    <mergeCell ref="B26:C26"/>
    <mergeCell ref="B27:B30"/>
    <mergeCell ref="B31:B33"/>
    <mergeCell ref="A10:A17"/>
    <mergeCell ref="B10:C10"/>
    <mergeCell ref="B11:B14"/>
    <mergeCell ref="B15:B17"/>
    <mergeCell ref="A18:A25"/>
    <mergeCell ref="B18:C18"/>
    <mergeCell ref="B19:B22"/>
    <mergeCell ref="B23:B25"/>
    <mergeCell ref="N2:T2"/>
  </mergeCells>
  <pageMargins left="0.19685039370078741" right="0.19685039370078741" top="0.6692913385826772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выполнение объема услуг</vt:lpstr>
      <vt:lpstr>расчет ум субс</vt:lpstr>
      <vt:lpstr>'выполнение объема услуг'!Область_печати</vt:lpstr>
      <vt:lpstr>'расчет ум субс'!Область_печати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2021-12-01T05:06:48Z</dcterms:modified>
</cp:coreProperties>
</file>