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35"/>
  </bookViews>
  <sheets>
    <sheet name="выполнение объема услуг" sheetId="1" r:id="rId1"/>
    <sheet name="расчет ум субс" sheetId="2" r:id="rId2"/>
  </sheets>
  <externalReferences>
    <externalReference r:id="rId3"/>
  </externalReferences>
  <definedNames>
    <definedName name="_xlnm.Print_Area" localSheetId="0">'выполнение объема услуг'!$A$1:$I$90</definedName>
  </definedNames>
  <calcPr calcId="152511"/>
</workbook>
</file>

<file path=xl/calcChain.xml><?xml version="1.0" encoding="utf-8"?>
<calcChain xmlns="http://schemas.openxmlformats.org/spreadsheetml/2006/main">
  <c r="G46" i="1" l="1"/>
  <c r="I90" i="1" l="1"/>
  <c r="H90" i="1"/>
  <c r="I89" i="1"/>
  <c r="H88" i="1"/>
  <c r="I88" i="1" s="1"/>
  <c r="I84" i="1" s="1"/>
  <c r="I87" i="1"/>
  <c r="I86" i="1"/>
  <c r="H85" i="1"/>
  <c r="H84" i="1" l="1"/>
  <c r="H18" i="1"/>
  <c r="H17" i="1"/>
  <c r="I17" i="1" s="1"/>
  <c r="H16" i="1"/>
  <c r="I16" i="1" s="1"/>
  <c r="H15" i="1"/>
  <c r="I15" i="1" s="1"/>
  <c r="H14" i="1"/>
  <c r="I14" i="1" s="1"/>
  <c r="H12" i="1"/>
  <c r="H11" i="1"/>
  <c r="I11" i="1" s="1"/>
  <c r="H10" i="1"/>
  <c r="I10" i="1" s="1"/>
  <c r="H29" i="1"/>
  <c r="H28" i="1"/>
  <c r="H27" i="1"/>
  <c r="H26" i="1"/>
  <c r="H25" i="1"/>
  <c r="H23" i="1"/>
  <c r="H22" i="1"/>
  <c r="H21" i="1"/>
  <c r="H40" i="1"/>
  <c r="H39" i="1"/>
  <c r="H38" i="1"/>
  <c r="H37" i="1"/>
  <c r="H36" i="1"/>
  <c r="H34" i="1"/>
  <c r="H33" i="1"/>
  <c r="H32" i="1"/>
  <c r="H51" i="1"/>
  <c r="H50" i="1"/>
  <c r="I50" i="1" s="1"/>
  <c r="H49" i="1"/>
  <c r="I49" i="1" s="1"/>
  <c r="I57" i="1" s="1"/>
  <c r="H48" i="1"/>
  <c r="I48" i="1" s="1"/>
  <c r="H47" i="1"/>
  <c r="H45" i="1"/>
  <c r="H44" i="1"/>
  <c r="H43" i="1"/>
  <c r="G50" i="1"/>
  <c r="H46" i="1"/>
  <c r="G42" i="1"/>
  <c r="H42" i="1" s="1"/>
  <c r="G31" i="1"/>
  <c r="H31" i="1" s="1"/>
  <c r="G35" i="1"/>
  <c r="H35" i="1" s="1"/>
  <c r="G39" i="1"/>
  <c r="G28" i="1"/>
  <c r="G20" i="1"/>
  <c r="H20" i="1" s="1"/>
  <c r="G24" i="1"/>
  <c r="H24" i="1" s="1"/>
  <c r="G13" i="1"/>
  <c r="H13" i="1" s="1"/>
  <c r="G9" i="1"/>
  <c r="H9" i="1" s="1"/>
  <c r="I53" i="1"/>
  <c r="G55" i="1"/>
  <c r="G56" i="1"/>
  <c r="G57" i="1"/>
  <c r="I56" i="1" l="1"/>
  <c r="G54" i="1"/>
  <c r="J10" i="1"/>
  <c r="J9" i="1"/>
  <c r="F21" i="2"/>
  <c r="F23" i="2"/>
  <c r="G21" i="2"/>
  <c r="G23" i="2"/>
  <c r="G22" i="2"/>
  <c r="G20" i="2"/>
  <c r="G19" i="2"/>
  <c r="F18" i="2"/>
  <c r="M13" i="2"/>
  <c r="D8" i="2"/>
  <c r="E17" i="2"/>
  <c r="D17" i="2"/>
  <c r="F17" i="2" l="1"/>
  <c r="G17" i="2"/>
  <c r="N10" i="2"/>
  <c r="K15" i="2"/>
  <c r="L15" i="2" s="1"/>
  <c r="I13" i="2" l="1"/>
  <c r="E8" i="2" l="1"/>
  <c r="F8" i="2" s="1"/>
  <c r="G8" i="2" s="1"/>
  <c r="H8" i="2" s="1"/>
  <c r="I8" i="2" s="1"/>
  <c r="J8" i="2" s="1"/>
  <c r="K8" i="2" s="1"/>
  <c r="L8" i="2" s="1"/>
  <c r="M8" i="2" s="1"/>
  <c r="N8" i="2" s="1"/>
  <c r="O8" i="2" s="1"/>
  <c r="F7" i="1"/>
  <c r="H13" i="2"/>
  <c r="L13" i="2" s="1"/>
  <c r="L11" i="2"/>
  <c r="J11" i="2" s="1"/>
  <c r="K16" i="2"/>
  <c r="N16" i="2" s="1"/>
  <c r="L18" i="2"/>
  <c r="J18" i="2" s="1"/>
  <c r="M18" i="2" s="1"/>
  <c r="L20" i="2"/>
  <c r="J20" i="2" s="1"/>
  <c r="M20" i="2" s="1"/>
  <c r="L22" i="2"/>
  <c r="J22" i="2" s="1"/>
  <c r="M22" i="2" s="1"/>
  <c r="I69" i="1"/>
  <c r="H71" i="1"/>
  <c r="H70" i="1"/>
  <c r="I73" i="1"/>
  <c r="I74" i="1"/>
  <c r="H74" i="1"/>
  <c r="H72" i="1" s="1"/>
  <c r="L23" i="2"/>
  <c r="O23" i="2" s="1"/>
  <c r="L21" i="2"/>
  <c r="O21" i="2" s="1"/>
  <c r="L19" i="2"/>
  <c r="O19" i="2" s="1"/>
  <c r="L17" i="2"/>
  <c r="G16" i="2"/>
  <c r="G15" i="2"/>
  <c r="J14" i="2"/>
  <c r="F14" i="2"/>
  <c r="E14" i="2"/>
  <c r="D14" i="2"/>
  <c r="G13" i="2"/>
  <c r="L12" i="2"/>
  <c r="J12" i="2" s="1"/>
  <c r="M12" i="2" s="1"/>
  <c r="F12" i="2"/>
  <c r="F10" i="2" s="1"/>
  <c r="G11" i="2"/>
  <c r="E10" i="2"/>
  <c r="D10" i="2"/>
  <c r="B8" i="2"/>
  <c r="J52" i="1"/>
  <c r="J48" i="1"/>
  <c r="J44" i="1"/>
  <c r="J41" i="1"/>
  <c r="J30" i="1"/>
  <c r="J37" i="1"/>
  <c r="J33" i="1"/>
  <c r="J38" i="1"/>
  <c r="J26" i="1"/>
  <c r="J22" i="1"/>
  <c r="J19" i="1"/>
  <c r="J15" i="1"/>
  <c r="J11" i="1"/>
  <c r="J51" i="1"/>
  <c r="J50" i="1"/>
  <c r="J47" i="1"/>
  <c r="J46" i="1"/>
  <c r="J43" i="1"/>
  <c r="J42" i="1"/>
  <c r="J40" i="1"/>
  <c r="J39" i="1"/>
  <c r="J36" i="1"/>
  <c r="J35" i="1"/>
  <c r="J32" i="1"/>
  <c r="J31" i="1"/>
  <c r="J29" i="1"/>
  <c r="J28" i="1"/>
  <c r="J25" i="1"/>
  <c r="J24" i="1"/>
  <c r="J21" i="1"/>
  <c r="J20" i="1"/>
  <c r="J18" i="1"/>
  <c r="J17" i="1"/>
  <c r="J14" i="1"/>
  <c r="J13" i="1"/>
  <c r="I79" i="1"/>
  <c r="I81" i="1"/>
  <c r="I82" i="1"/>
  <c r="H80" i="1"/>
  <c r="H66" i="1"/>
  <c r="H65" i="1"/>
  <c r="F57" i="1"/>
  <c r="F56" i="1"/>
  <c r="F55" i="1"/>
  <c r="F54" i="1"/>
  <c r="F64" i="1"/>
  <c r="F80" i="1"/>
  <c r="F30" i="1"/>
  <c r="H68" i="1" l="1"/>
  <c r="O15" i="2"/>
  <c r="N15" i="2"/>
  <c r="N14" i="2" s="1"/>
  <c r="G10" i="2"/>
  <c r="O13" i="2"/>
  <c r="O10" i="2" s="1"/>
  <c r="M10" i="2" s="1"/>
  <c r="J13" i="2"/>
  <c r="I80" i="1"/>
  <c r="J49" i="1"/>
  <c r="J16" i="1"/>
  <c r="I72" i="1"/>
  <c r="J19" i="2"/>
  <c r="M19" i="2" s="1"/>
  <c r="J23" i="2"/>
  <c r="M23" i="2" s="1"/>
  <c r="M11" i="2"/>
  <c r="G14" i="2"/>
  <c r="L16" i="2"/>
  <c r="O16" i="2" s="1"/>
  <c r="J21" i="2"/>
  <c r="M21" i="2" s="1"/>
  <c r="J16" i="2"/>
  <c r="M16" i="2" s="1"/>
  <c r="C8" i="2"/>
  <c r="J15" i="2"/>
  <c r="M15" i="2" s="1"/>
  <c r="O18" i="2"/>
  <c r="O20" i="2"/>
  <c r="O22" i="2"/>
  <c r="J27" i="1"/>
  <c r="A58" i="1"/>
  <c r="F19" i="1"/>
  <c r="G19" i="1"/>
  <c r="H19" i="1" s="1"/>
  <c r="I18" i="1"/>
  <c r="I13" i="1"/>
  <c r="F41" i="1"/>
  <c r="F52" i="1"/>
  <c r="F103" i="1"/>
  <c r="F102" i="1"/>
  <c r="F101" i="1"/>
  <c r="F100" i="1"/>
  <c r="G30" i="1"/>
  <c r="H30" i="1" s="1"/>
  <c r="G41" i="1"/>
  <c r="G52" i="1"/>
  <c r="G103" i="1"/>
  <c r="G102" i="1"/>
  <c r="G101" i="1"/>
  <c r="G100" i="1"/>
  <c r="G99" i="1"/>
  <c r="F99" i="1"/>
  <c r="I51" i="1"/>
  <c r="I47" i="1"/>
  <c r="I42" i="1"/>
  <c r="H56" i="1"/>
  <c r="I36" i="1"/>
  <c r="H57" i="1"/>
  <c r="I31" i="1"/>
  <c r="H63" i="1"/>
  <c r="H62" i="1"/>
  <c r="H61" i="1"/>
  <c r="H64" i="1"/>
  <c r="G95" i="1"/>
  <c r="F95" i="1"/>
  <c r="G94" i="1"/>
  <c r="F94" i="1"/>
  <c r="G93" i="1"/>
  <c r="F93" i="1"/>
  <c r="G68" i="1"/>
  <c r="G60" i="1"/>
  <c r="G76" i="1"/>
  <c r="F68" i="1"/>
  <c r="F60" i="1"/>
  <c r="F76" i="1"/>
  <c r="G97" i="1"/>
  <c r="F97" i="1"/>
  <c r="F72" i="1"/>
  <c r="F96" i="1" s="1"/>
  <c r="H78" i="1"/>
  <c r="I77" i="1"/>
  <c r="G80" i="1"/>
  <c r="G72" i="1"/>
  <c r="I70" i="1"/>
  <c r="I68" i="1" s="1"/>
  <c r="G64" i="1"/>
  <c r="I64" i="1"/>
  <c r="B7" i="1"/>
  <c r="F84" i="1"/>
  <c r="C63" i="1"/>
  <c r="C62" i="1"/>
  <c r="C61" i="1"/>
  <c r="G53" i="1" l="1"/>
  <c r="H41" i="1"/>
  <c r="O17" i="2"/>
  <c r="M17" i="2"/>
  <c r="I55" i="1"/>
  <c r="H55" i="1"/>
  <c r="I9" i="1"/>
  <c r="I54" i="1" s="1"/>
  <c r="H54" i="1"/>
  <c r="N9" i="2"/>
  <c r="O9" i="2"/>
  <c r="O14" i="2"/>
  <c r="M14" i="2" s="1"/>
  <c r="G96" i="1"/>
  <c r="J53" i="1"/>
  <c r="F53" i="1"/>
  <c r="G92" i="1"/>
  <c r="C70" i="1"/>
  <c r="C78" i="1" s="1"/>
  <c r="C12" i="2" s="1"/>
  <c r="C69" i="1"/>
  <c r="C77" i="1" s="1"/>
  <c r="C11" i="2" s="1"/>
  <c r="C71" i="1"/>
  <c r="C79" i="1" s="1"/>
  <c r="C13" i="2" s="1"/>
  <c r="H60" i="1"/>
  <c r="H52" i="1"/>
  <c r="G104" i="1"/>
  <c r="I62" i="1"/>
  <c r="I60" i="1" s="1"/>
  <c r="F92" i="1"/>
  <c r="F104" i="1"/>
  <c r="I76" i="1"/>
  <c r="H76" i="1"/>
  <c r="B58" i="1"/>
  <c r="C7" i="1"/>
  <c r="D7" i="1" s="1"/>
  <c r="E7" i="1" s="1"/>
  <c r="G7" i="1" s="1"/>
  <c r="H7" i="1" s="1"/>
  <c r="I7" i="1" s="1"/>
  <c r="G84" i="1"/>
  <c r="H53" i="1" l="1"/>
  <c r="M9" i="2"/>
  <c r="C58" i="1"/>
  <c r="F58" i="1" l="1"/>
  <c r="G58" i="1" l="1"/>
  <c r="H58" i="1" l="1"/>
  <c r="I58" i="1" l="1"/>
</calcChain>
</file>

<file path=xl/sharedStrings.xml><?xml version="1.0" encoding="utf-8"?>
<sst xmlns="http://schemas.openxmlformats.org/spreadsheetml/2006/main" count="238" uniqueCount="68">
  <si>
    <t>Наименование муниципального учреждения</t>
  </si>
  <si>
    <t>Наименование государственной услуги</t>
  </si>
  <si>
    <t>Условие, отражающее специфику услуги</t>
  </si>
  <si>
    <t>МОБУ Новобурейская СОШ № 1</t>
  </si>
  <si>
    <t>Реализация основных общеобразовательных программ начального общего образования (показатель объема - число обучающихся)</t>
  </si>
  <si>
    <t>Образовательная программа начального общего образования</t>
  </si>
  <si>
    <t>Адаптированная образовательная программа начального общего образования</t>
  </si>
  <si>
    <t>Реализация основных общеобразовательных программ основного общего образования (показатель объема - число обучающихся)</t>
  </si>
  <si>
    <t>Образовательная программа основного общего образования</t>
  </si>
  <si>
    <t>Адаптированная образовательная программа основного общего образования</t>
  </si>
  <si>
    <t>Реализация основных общеобразовательных программ среднего общего образования (показатель объема - число обучающихся)</t>
  </si>
  <si>
    <t>Образовательная программа среднего общего образования</t>
  </si>
  <si>
    <t>Итого</t>
  </si>
  <si>
    <t>МОБУ Новобурейская СОШ № 3</t>
  </si>
  <si>
    <t>МОБУ Бурейская СОШ</t>
  </si>
  <si>
    <t>МОБУ Талаканская СОШ № 5</t>
  </si>
  <si>
    <t>Объем услуг</t>
  </si>
  <si>
    <t>МДОБУ Новобурейский д/с "Искорка"</t>
  </si>
  <si>
    <t>Всего</t>
  </si>
  <si>
    <t>Присмотр и уход</t>
  </si>
  <si>
    <t>Реализация основных общеобразовательных программ дошкольного образования</t>
  </si>
  <si>
    <t>От 1 года до 3 лет</t>
  </si>
  <si>
    <t>От 3 лет до 8 лет</t>
  </si>
  <si>
    <t>МДОБУ Бурейский д/с № 50 "Теремок"</t>
  </si>
  <si>
    <t>МДОБУ ЦРР - д/с № 4 "Лесовичек"</t>
  </si>
  <si>
    <t xml:space="preserve">Реализация дополнительных общеразвивающих программ </t>
  </si>
  <si>
    <t>по физкультурно-спортивному направлению</t>
  </si>
  <si>
    <t>по туристско-краеведческому направлению</t>
  </si>
  <si>
    <t>по техническому направлению</t>
  </si>
  <si>
    <t>по социально-педагогическому направлению</t>
  </si>
  <si>
    <t>по естественно-научному направлению</t>
  </si>
  <si>
    <t>по художественному направлению</t>
  </si>
  <si>
    <t>МАУ ДОД ЦВР</t>
  </si>
  <si>
    <t>откл в сверх нормы (&gt;5%)</t>
  </si>
  <si>
    <t xml:space="preserve">в т.ч. за счет средств </t>
  </si>
  <si>
    <t>собственных доходов (размер родительской платы за оказание муниципальной услуги)</t>
  </si>
  <si>
    <t>бюджета</t>
  </si>
  <si>
    <t xml:space="preserve"> за счет средств районного бюджета (гр.7* гр.13)</t>
  </si>
  <si>
    <t>за счет средств областного бюджета (гр.7* гр.12)</t>
  </si>
  <si>
    <t>Данные предварительного отчета о выполнении муниципального задания</t>
  </si>
  <si>
    <t>по муниципальному заданию</t>
  </si>
  <si>
    <t>ожидаемое исполнение по итогам года</t>
  </si>
  <si>
    <t>откл в пределах нормы (5%) (-) превышение МЗ</t>
  </si>
  <si>
    <t>очная</t>
  </si>
  <si>
    <t>на дому</t>
  </si>
  <si>
    <t>обучающиеся, за искл.обуч-ся с ОВЗ и детей-инвалидов</t>
  </si>
  <si>
    <t>дети-инвалиды</t>
  </si>
  <si>
    <t>обучающиеся с ОВЗ</t>
  </si>
  <si>
    <t>в т.ч</t>
  </si>
  <si>
    <t xml:space="preserve">Образовательная программа </t>
  </si>
  <si>
    <t xml:space="preserve">Адаптированная образовательная программа </t>
  </si>
  <si>
    <t>группа полного дня</t>
  </si>
  <si>
    <t>Нормативные затраты на оказание i-ой услуги, руб.</t>
  </si>
  <si>
    <t>Анализ предварительных отчетов об исполнении муниципальных заданий бюджетными и автономными образовательными учреждениями Бурейского района за 2018 год</t>
  </si>
  <si>
    <t>в том числе</t>
  </si>
  <si>
    <t>Расчет уменьшения размера субсидии на муниципальное задание по результатам предварительных отчетов об исполнении муниципальных заданий бюджетными и автономными образовательными учреждениями Бурейского района за 2018 год</t>
  </si>
  <si>
    <t>Расчет уменьшения размера субсидии на муниципальное задание по результатам предварительных отчетов</t>
  </si>
  <si>
    <t>в том числе, по источникам финансирования</t>
  </si>
  <si>
    <t>Приложение № 2</t>
  </si>
  <si>
    <t xml:space="preserve">областного </t>
  </si>
  <si>
    <t xml:space="preserve">районного </t>
  </si>
  <si>
    <t>Приложение № 1</t>
  </si>
  <si>
    <t>Сумма уменьшения размера субсидии (гр.7* гр.13)</t>
  </si>
  <si>
    <t>Общеобразовательные учреждения</t>
  </si>
  <si>
    <t>Дошкольные образовательные учреждения</t>
  </si>
  <si>
    <t>Учреждения дополнительного образования</t>
  </si>
  <si>
    <t>к приказу МКУ Отдел образования администрации Бурейского района от 16.11.2018 № 225</t>
  </si>
  <si>
    <t>к приказу МКУ Отдел образования администрации Бурейского района                                 от 16.11.2018 №225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</si>
</sst>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#,##0.0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CCEC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CCECF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" fontId="1" fillId="0" borderId="7" xfId="0" applyNumberFormat="1" applyFont="1" applyBorder="1"/>
    <xf numFmtId="164" fontId="3" fillId="0" borderId="7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0" fontId="1" fillId="0" borderId="6" xfId="0" applyFont="1" applyBorder="1" applyAlignment="1">
      <alignment horizontal="left" wrapText="1"/>
    </xf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0" fontId="7" fillId="0" borderId="0" xfId="0" applyFont="1"/>
    <xf numFmtId="4" fontId="5" fillId="0" borderId="12" xfId="0" applyNumberFormat="1" applyFont="1" applyBorder="1"/>
    <xf numFmtId="4" fontId="2" fillId="0" borderId="1" xfId="0" applyNumberFormat="1" applyFont="1" applyFill="1" applyBorder="1"/>
    <xf numFmtId="3" fontId="1" fillId="0" borderId="6" xfId="0" applyNumberFormat="1" applyFont="1" applyFill="1" applyBorder="1"/>
    <xf numFmtId="3" fontId="1" fillId="0" borderId="8" xfId="0" applyNumberFormat="1" applyFont="1" applyBorder="1"/>
    <xf numFmtId="0" fontId="5" fillId="0" borderId="1" xfId="0" applyFont="1" applyBorder="1"/>
    <xf numFmtId="3" fontId="1" fillId="2" borderId="1" xfId="0" applyNumberFormat="1" applyFont="1" applyFill="1" applyBorder="1"/>
    <xf numFmtId="3" fontId="1" fillId="2" borderId="8" xfId="0" applyNumberFormat="1" applyFont="1" applyFill="1" applyBorder="1"/>
    <xf numFmtId="165" fontId="1" fillId="2" borderId="1" xfId="0" applyNumberFormat="1" applyFont="1" applyFill="1" applyBorder="1"/>
    <xf numFmtId="3" fontId="5" fillId="2" borderId="1" xfId="0" applyNumberFormat="1" applyFont="1" applyFill="1" applyBorder="1"/>
    <xf numFmtId="165" fontId="5" fillId="2" borderId="1" xfId="0" applyNumberFormat="1" applyFont="1" applyFill="1" applyBorder="1"/>
    <xf numFmtId="4" fontId="1" fillId="0" borderId="7" xfId="0" applyNumberFormat="1" applyFont="1" applyFill="1" applyBorder="1"/>
    <xf numFmtId="4" fontId="5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3" fontId="1" fillId="0" borderId="8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4" fontId="1" fillId="0" borderId="6" xfId="0" applyNumberFormat="1" applyFont="1" applyFill="1" applyBorder="1"/>
    <xf numFmtId="4" fontId="9" fillId="0" borderId="1" xfId="0" applyNumberFormat="1" applyFont="1" applyFill="1" applyBorder="1"/>
    <xf numFmtId="166" fontId="2" fillId="0" borderId="1" xfId="0" applyNumberFormat="1" applyFont="1" applyFill="1" applyBorder="1"/>
    <xf numFmtId="0" fontId="10" fillId="0" borderId="0" xfId="0" applyFont="1" applyFill="1"/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/>
    <xf numFmtId="0" fontId="0" fillId="0" borderId="6" xfId="0" applyFill="1" applyBorder="1"/>
    <xf numFmtId="4" fontId="5" fillId="0" borderId="7" xfId="0" applyNumberFormat="1" applyFont="1" applyBorder="1"/>
    <xf numFmtId="4" fontId="5" fillId="0" borderId="6" xfId="0" applyNumberFormat="1" applyFont="1" applyFill="1" applyBorder="1"/>
    <xf numFmtId="0" fontId="1" fillId="0" borderId="7" xfId="0" applyFont="1" applyBorder="1"/>
    <xf numFmtId="3" fontId="1" fillId="2" borderId="7" xfId="0" applyNumberFormat="1" applyFont="1" applyFill="1" applyBorder="1"/>
    <xf numFmtId="165" fontId="1" fillId="2" borderId="7" xfId="0" applyNumberFormat="1" applyFont="1" applyFill="1" applyBorder="1"/>
    <xf numFmtId="0" fontId="2" fillId="0" borderId="6" xfId="0" applyFont="1" applyBorder="1"/>
    <xf numFmtId="0" fontId="2" fillId="2" borderId="6" xfId="0" applyFont="1" applyFill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9" fillId="2" borderId="6" xfId="0" applyFont="1" applyFill="1" applyBorder="1"/>
    <xf numFmtId="0" fontId="9" fillId="0" borderId="6" xfId="0" applyFont="1" applyBorder="1"/>
    <xf numFmtId="0" fontId="11" fillId="0" borderId="0" xfId="0" applyFont="1"/>
    <xf numFmtId="0" fontId="9" fillId="0" borderId="6" xfId="0" applyFont="1" applyBorder="1" applyAlignment="1">
      <alignment wrapText="1"/>
    </xf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Border="1"/>
    <xf numFmtId="3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/>
    <xf numFmtId="4" fontId="2" fillId="0" borderId="3" xfId="0" applyNumberFormat="1" applyFont="1" applyFill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" fontId="6" fillId="0" borderId="7" xfId="0" applyNumberFormat="1" applyFont="1" applyFill="1" applyBorder="1"/>
    <xf numFmtId="3" fontId="7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3" xfId="0" applyFont="1" applyBorder="1" applyAlignment="1">
      <alignment vertical="top" wrapText="1"/>
    </xf>
    <xf numFmtId="0" fontId="5" fillId="0" borderId="3" xfId="0" applyFont="1" applyBorder="1"/>
    <xf numFmtId="3" fontId="5" fillId="2" borderId="3" xfId="0" applyNumberFormat="1" applyFont="1" applyFill="1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7" xfId="0" applyFont="1" applyBorder="1" applyAlignment="1">
      <alignment horizontal="right"/>
    </xf>
    <xf numFmtId="0" fontId="1" fillId="0" borderId="6" xfId="0" applyFont="1" applyBorder="1" applyAlignment="1">
      <alignment vertical="top" wrapText="1"/>
    </xf>
    <xf numFmtId="3" fontId="2" fillId="0" borderId="6" xfId="0" applyNumberFormat="1" applyFont="1" applyBorder="1"/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3" fontId="9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6" xfId="0" applyNumberFormat="1" applyFont="1" applyFill="1" applyBorder="1"/>
    <xf numFmtId="3" fontId="9" fillId="0" borderId="7" xfId="0" applyNumberFormat="1" applyFont="1" applyBorder="1"/>
    <xf numFmtId="3" fontId="5" fillId="0" borderId="1" xfId="0" applyNumberFormat="1" applyFont="1" applyBorder="1"/>
    <xf numFmtId="3" fontId="5" fillId="0" borderId="8" xfId="0" applyNumberFormat="1" applyFont="1" applyBorder="1"/>
    <xf numFmtId="0" fontId="1" fillId="0" borderId="8" xfId="0" applyFont="1" applyFill="1" applyBorder="1" applyAlignment="1">
      <alignment horizontal="left" wrapText="1"/>
    </xf>
    <xf numFmtId="0" fontId="1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right"/>
    </xf>
    <xf numFmtId="4" fontId="8" fillId="0" borderId="3" xfId="0" applyNumberFormat="1" applyFont="1" applyFill="1" applyBorder="1"/>
    <xf numFmtId="4" fontId="9" fillId="0" borderId="3" xfId="0" applyNumberFormat="1" applyFont="1" applyFill="1" applyBorder="1"/>
    <xf numFmtId="166" fontId="2" fillId="0" borderId="3" xfId="0" applyNumberFormat="1" applyFont="1" applyFill="1" applyBorder="1"/>
    <xf numFmtId="4" fontId="2" fillId="0" borderId="21" xfId="0" applyNumberFormat="1" applyFont="1" applyFill="1" applyBorder="1"/>
    <xf numFmtId="4" fontId="2" fillId="0" borderId="22" xfId="0" applyNumberFormat="1" applyFont="1" applyFill="1" applyBorder="1"/>
    <xf numFmtId="4" fontId="1" fillId="0" borderId="22" xfId="0" applyNumberFormat="1" applyFont="1" applyFill="1" applyBorder="1"/>
    <xf numFmtId="165" fontId="2" fillId="0" borderId="1" xfId="0" applyNumberFormat="1" applyFont="1" applyFill="1" applyBorder="1"/>
    <xf numFmtId="165" fontId="2" fillId="0" borderId="6" xfId="0" applyNumberFormat="1" applyFont="1" applyFill="1" applyBorder="1"/>
    <xf numFmtId="4" fontId="1" fillId="2" borderId="7" xfId="0" applyNumberFormat="1" applyFont="1" applyFill="1" applyBorder="1"/>
    <xf numFmtId="4" fontId="1" fillId="2" borderId="17" xfId="0" applyNumberFormat="1" applyFont="1" applyFill="1" applyBorder="1"/>
    <xf numFmtId="3" fontId="1" fillId="3" borderId="1" xfId="0" applyNumberFormat="1" applyFont="1" applyFill="1" applyBorder="1"/>
    <xf numFmtId="165" fontId="1" fillId="4" borderId="1" xfId="0" applyNumberFormat="1" applyFont="1" applyFill="1" applyBorder="1"/>
    <xf numFmtId="3" fontId="5" fillId="0" borderId="8" xfId="0" applyNumberFormat="1" applyFont="1" applyFill="1" applyBorder="1"/>
    <xf numFmtId="3" fontId="2" fillId="5" borderId="1" xfId="0" applyNumberFormat="1" applyFont="1" applyFill="1" applyBorder="1"/>
    <xf numFmtId="0" fontId="13" fillId="0" borderId="7" xfId="0" applyFont="1" applyBorder="1" applyAlignment="1">
      <alignment wrapText="1"/>
    </xf>
    <xf numFmtId="0" fontId="12" fillId="0" borderId="15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left" wrapText="1"/>
    </xf>
    <xf numFmtId="2" fontId="1" fillId="0" borderId="6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7" xfId="0" applyNumberFormat="1" applyFont="1" applyBorder="1"/>
    <xf numFmtId="0" fontId="1" fillId="0" borderId="1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/>
    <xf numFmtId="4" fontId="1" fillId="0" borderId="25" xfId="0" applyNumberFormat="1" applyFont="1" applyFill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9" fillId="0" borderId="8" xfId="0" applyFont="1" applyFill="1" applyBorder="1"/>
    <xf numFmtId="0" fontId="2" fillId="2" borderId="8" xfId="0" applyFont="1" applyFill="1" applyBorder="1"/>
    <xf numFmtId="3" fontId="1" fillId="3" borderId="8" xfId="0" applyNumberFormat="1" applyFont="1" applyFill="1" applyBorder="1"/>
    <xf numFmtId="3" fontId="1" fillId="0" borderId="3" xfId="0" applyNumberFormat="1" applyFont="1" applyFill="1" applyBorder="1"/>
    <xf numFmtId="3" fontId="1" fillId="2" borderId="21" xfId="0" applyNumberFormat="1" applyFont="1" applyFill="1" applyBorder="1"/>
    <xf numFmtId="3" fontId="1" fillId="2" borderId="22" xfId="0" applyNumberFormat="1" applyFont="1" applyFill="1" applyBorder="1"/>
    <xf numFmtId="3" fontId="1" fillId="3" borderId="22" xfId="0" applyNumberFormat="1" applyFont="1" applyFill="1" applyBorder="1"/>
    <xf numFmtId="165" fontId="1" fillId="4" borderId="22" xfId="0" applyNumberFormat="1" applyFont="1" applyFill="1" applyBorder="1"/>
    <xf numFmtId="165" fontId="1" fillId="2" borderId="22" xfId="0" applyNumberFormat="1" applyFont="1" applyFill="1" applyBorder="1"/>
    <xf numFmtId="3" fontId="1" fillId="3" borderId="25" xfId="0" applyNumberFormat="1" applyFont="1" applyFill="1" applyBorder="1"/>
    <xf numFmtId="0" fontId="2" fillId="0" borderId="7" xfId="0" applyFont="1" applyBorder="1" applyAlignment="1">
      <alignment wrapText="1"/>
    </xf>
    <xf numFmtId="164" fontId="14" fillId="0" borderId="7" xfId="0" applyNumberFormat="1" applyFont="1" applyBorder="1"/>
    <xf numFmtId="0" fontId="5" fillId="0" borderId="7" xfId="0" applyFont="1" applyBorder="1"/>
    <xf numFmtId="0" fontId="1" fillId="0" borderId="23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3" fontId="1" fillId="0" borderId="7" xfId="0" applyNumberFormat="1" applyFont="1" applyFill="1" applyBorder="1"/>
    <xf numFmtId="165" fontId="2" fillId="0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89;&#1095;&#1077;&#1090;%20&#1085;&#1086;&#1088;&#1084;&#1072;&#1090;&#1080;&#1074;&#1085;&#1099;&#1093;%20&#1079;&#1072;&#1090;&#1088;&#1072;&#1090;/&#1053;&#1054;&#1042;&#1054;&#1045;/&#1087;&#1088;&#1080;&#1084;&#1077;&#1088;%20&#1088;&#1072;&#1089;&#1095;&#1077;&#1090;&#1072;%20&#1085;&#1086;&#1088;&#1084;.%20&#1079;&#1072;&#1090;&#1088;&#1072;&#1090;/&#1044;&#1054;&#1059;%20-%20&#1087;&#1086;&#1089;&#1083;&#1077;&#1076;&#1085;&#1080;&#1081;%20&#1074;&#1072;&#1088;&#1080;&#1072;&#1085;&#1090;/&#1056;&#1072;&#1089;&#1095;&#1077;&#1090;%20&#1053;&#1047;%20&#1055;&#1059;%20&#1044;&#1054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муществ комплекс"/>
      <sheetName val="Прямые"/>
      <sheetName val="ОХН"/>
      <sheetName val="КР и РСНИ"/>
      <sheetName val="ИТОГО БНЗ"/>
      <sheetName val="Тер КК"/>
      <sheetName val="Отр КК"/>
      <sheetName val="НЗ"/>
      <sheetName val="субсидия"/>
      <sheetName val="субс с налогом ПУ"/>
      <sheetName val="субс с налог 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0">
          <cell r="C30" t="str">
            <v>дети-инвалиды</v>
          </cell>
        </row>
        <row r="31">
          <cell r="C31" t="str">
            <v>дети-сироты и дети, оставшиеся без попечения родителей</v>
          </cell>
        </row>
        <row r="32">
          <cell r="C32" t="str">
            <v>физические лица за исключением льготных категорий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zoomScale="60" zoomScaleNormal="100" workbookViewId="0">
      <selection activeCell="O6" sqref="O6"/>
    </sheetView>
  </sheetViews>
  <sheetFormatPr defaultRowHeight="15" x14ac:dyDescent="0.25"/>
  <cols>
    <col min="1" max="1" width="11.42578125" style="1" customWidth="1"/>
    <col min="2" max="2" width="29.28515625" style="1" customWidth="1"/>
    <col min="3" max="3" width="19.42578125" style="1" customWidth="1"/>
    <col min="4" max="4" width="16.7109375" style="1" customWidth="1"/>
    <col min="5" max="5" width="8.42578125" style="1" customWidth="1"/>
    <col min="6" max="6" width="10.5703125" customWidth="1"/>
    <col min="7" max="7" width="11.28515625" style="13" customWidth="1"/>
    <col min="8" max="8" width="13.7109375" customWidth="1"/>
    <col min="9" max="9" width="7.5703125" customWidth="1"/>
    <col min="10" max="10" width="17.42578125" customWidth="1"/>
  </cols>
  <sheetData>
    <row r="1" spans="1:10" ht="16.5" customHeight="1" x14ac:dyDescent="0.25">
      <c r="F1" s="145" t="s">
        <v>61</v>
      </c>
      <c r="G1" s="145"/>
      <c r="H1" s="145"/>
      <c r="I1" s="145"/>
      <c r="J1" s="70"/>
    </row>
    <row r="2" spans="1:10" ht="59.25" customHeight="1" x14ac:dyDescent="0.25">
      <c r="F2" s="151" t="s">
        <v>66</v>
      </c>
      <c r="G2" s="151"/>
      <c r="H2" s="151"/>
      <c r="I2" s="151"/>
      <c r="J2" s="72"/>
    </row>
    <row r="3" spans="1:10" ht="51" customHeight="1" x14ac:dyDescent="0.25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13"/>
    </row>
    <row r="4" spans="1:10" ht="29.25" customHeight="1" x14ac:dyDescent="0.25">
      <c r="A4" s="150" t="s">
        <v>0</v>
      </c>
      <c r="B4" s="150" t="s">
        <v>1</v>
      </c>
      <c r="C4" s="186" t="s">
        <v>2</v>
      </c>
      <c r="D4" s="187"/>
      <c r="E4" s="187"/>
      <c r="F4" s="149" t="s">
        <v>39</v>
      </c>
      <c r="G4" s="149"/>
      <c r="H4" s="149"/>
      <c r="I4" s="149"/>
      <c r="J4" s="71"/>
    </row>
    <row r="5" spans="1:10" ht="15" customHeight="1" x14ac:dyDescent="0.25">
      <c r="A5" s="150"/>
      <c r="B5" s="150"/>
      <c r="C5" s="188"/>
      <c r="D5" s="189"/>
      <c r="E5" s="189"/>
      <c r="F5" s="142" t="s">
        <v>16</v>
      </c>
      <c r="G5" s="143"/>
      <c r="H5" s="143"/>
      <c r="I5" s="144"/>
      <c r="J5" s="67"/>
    </row>
    <row r="6" spans="1:10" ht="63" customHeight="1" x14ac:dyDescent="0.25">
      <c r="A6" s="150"/>
      <c r="B6" s="150"/>
      <c r="C6" s="66">
        <v>1</v>
      </c>
      <c r="D6" s="67">
        <v>2</v>
      </c>
      <c r="E6" s="67">
        <v>3</v>
      </c>
      <c r="F6" s="3" t="s">
        <v>40</v>
      </c>
      <c r="G6" s="116" t="s">
        <v>41</v>
      </c>
      <c r="H6" s="8" t="s">
        <v>42</v>
      </c>
      <c r="I6" s="8" t="s">
        <v>33</v>
      </c>
      <c r="J6" s="66"/>
    </row>
    <row r="7" spans="1:10" ht="13.5" customHeight="1" x14ac:dyDescent="0.25">
      <c r="A7" s="4">
        <v>1</v>
      </c>
      <c r="B7" s="4">
        <f>A7+1</f>
        <v>2</v>
      </c>
      <c r="C7" s="4">
        <f t="shared" ref="C7" si="0">B7+1</f>
        <v>3</v>
      </c>
      <c r="D7" s="4">
        <f>C7+1</f>
        <v>4</v>
      </c>
      <c r="E7" s="4">
        <f t="shared" ref="E7:I7" si="1">D7+1</f>
        <v>5</v>
      </c>
      <c r="F7" s="4">
        <f>E7+1</f>
        <v>6</v>
      </c>
      <c r="G7" s="4">
        <f t="shared" si="1"/>
        <v>7</v>
      </c>
      <c r="H7" s="4">
        <f t="shared" si="1"/>
        <v>8</v>
      </c>
      <c r="I7" s="4">
        <f t="shared" si="1"/>
        <v>9</v>
      </c>
      <c r="J7" s="4"/>
    </row>
    <row r="8" spans="1:10" ht="13.5" customHeight="1" x14ac:dyDescent="0.25">
      <c r="A8" s="142" t="s">
        <v>63</v>
      </c>
      <c r="B8" s="143"/>
      <c r="C8" s="143"/>
      <c r="D8" s="143"/>
      <c r="E8" s="143"/>
      <c r="F8" s="143"/>
      <c r="G8" s="143"/>
      <c r="H8" s="143"/>
      <c r="I8" s="144"/>
      <c r="J8" s="138"/>
    </row>
    <row r="9" spans="1:10" s="13" customFormat="1" ht="25.5" customHeight="1" x14ac:dyDescent="0.25">
      <c r="A9" s="152" t="s">
        <v>3</v>
      </c>
      <c r="B9" s="155" t="s">
        <v>4</v>
      </c>
      <c r="C9" s="178" t="s">
        <v>5</v>
      </c>
      <c r="D9" s="139" t="s">
        <v>45</v>
      </c>
      <c r="E9" s="139" t="s">
        <v>43</v>
      </c>
      <c r="F9" s="45">
        <v>188</v>
      </c>
      <c r="G9" s="137">
        <f>190-G10-G11-G12</f>
        <v>183</v>
      </c>
      <c r="H9" s="140">
        <f t="shared" ref="H9:H18" si="2">F9-G9</f>
        <v>5</v>
      </c>
      <c r="I9" s="46">
        <f>F9-G9-H9</f>
        <v>0</v>
      </c>
      <c r="J9" s="19">
        <f>SUM(F9:F12)</f>
        <v>193</v>
      </c>
    </row>
    <row r="10" spans="1:10" s="13" customFormat="1" ht="14.25" customHeight="1" x14ac:dyDescent="0.25">
      <c r="A10" s="153"/>
      <c r="B10" s="156"/>
      <c r="C10" s="155"/>
      <c r="D10" s="5" t="s">
        <v>46</v>
      </c>
      <c r="E10" s="5" t="s">
        <v>43</v>
      </c>
      <c r="F10" s="2">
        <v>1</v>
      </c>
      <c r="G10" s="2">
        <v>2</v>
      </c>
      <c r="H10" s="11">
        <f t="shared" si="2"/>
        <v>-1</v>
      </c>
      <c r="I10" s="19">
        <f t="shared" ref="I10:I11" si="3">F10-G10-H10</f>
        <v>0</v>
      </c>
      <c r="J10" s="19">
        <f>SUM(G9:G12)</f>
        <v>190</v>
      </c>
    </row>
    <row r="11" spans="1:10" s="13" customFormat="1" ht="25.5" customHeight="1" x14ac:dyDescent="0.25">
      <c r="A11" s="153"/>
      <c r="B11" s="156"/>
      <c r="C11" s="163" t="s">
        <v>6</v>
      </c>
      <c r="D11" s="5" t="s">
        <v>47</v>
      </c>
      <c r="E11" s="5" t="s">
        <v>43</v>
      </c>
      <c r="F11" s="2">
        <v>4</v>
      </c>
      <c r="G11" s="2">
        <v>3</v>
      </c>
      <c r="H11" s="11">
        <f t="shared" si="2"/>
        <v>1</v>
      </c>
      <c r="I11" s="19">
        <f t="shared" si="3"/>
        <v>0</v>
      </c>
      <c r="J11" s="108">
        <f>(184*4+193*8)/12</f>
        <v>190</v>
      </c>
    </row>
    <row r="12" spans="1:10" s="13" customFormat="1" ht="25.5" customHeight="1" x14ac:dyDescent="0.25">
      <c r="A12" s="153"/>
      <c r="B12" s="156"/>
      <c r="C12" s="155"/>
      <c r="D12" s="5" t="s">
        <v>47</v>
      </c>
      <c r="E12" s="5" t="s">
        <v>44</v>
      </c>
      <c r="F12" s="2">
        <v>0</v>
      </c>
      <c r="G12" s="2">
        <v>2</v>
      </c>
      <c r="H12" s="11">
        <f t="shared" si="2"/>
        <v>-2</v>
      </c>
      <c r="I12" s="19">
        <v>0</v>
      </c>
      <c r="J12" s="19"/>
    </row>
    <row r="13" spans="1:10" s="13" customFormat="1" ht="25.5" customHeight="1" x14ac:dyDescent="0.25">
      <c r="A13" s="153"/>
      <c r="B13" s="163" t="s">
        <v>7</v>
      </c>
      <c r="C13" s="163" t="s">
        <v>8</v>
      </c>
      <c r="D13" s="5" t="s">
        <v>45</v>
      </c>
      <c r="E13" s="5" t="s">
        <v>43</v>
      </c>
      <c r="F13" s="2">
        <v>217</v>
      </c>
      <c r="G13" s="18">
        <f>224-G14-G15-G16</f>
        <v>211</v>
      </c>
      <c r="H13" s="11">
        <f t="shared" si="2"/>
        <v>6</v>
      </c>
      <c r="I13" s="19">
        <f>F13-G13-H13</f>
        <v>0</v>
      </c>
      <c r="J13" s="19">
        <f>SUM(F13:F16)</f>
        <v>228</v>
      </c>
    </row>
    <row r="14" spans="1:10" s="13" customFormat="1" ht="15.75" customHeight="1" x14ac:dyDescent="0.25">
      <c r="A14" s="153"/>
      <c r="B14" s="178"/>
      <c r="C14" s="155"/>
      <c r="D14" s="5" t="s">
        <v>46</v>
      </c>
      <c r="E14" s="5" t="s">
        <v>43</v>
      </c>
      <c r="F14" s="2">
        <v>0</v>
      </c>
      <c r="G14" s="2">
        <v>2</v>
      </c>
      <c r="H14" s="11">
        <f t="shared" si="2"/>
        <v>-2</v>
      </c>
      <c r="I14" s="19">
        <f t="shared" ref="I14:I17" si="4">F14-G14-H14</f>
        <v>0</v>
      </c>
      <c r="J14" s="19">
        <f>SUM(G13:G16)</f>
        <v>224</v>
      </c>
    </row>
    <row r="15" spans="1:10" s="13" customFormat="1" ht="25.5" customHeight="1" x14ac:dyDescent="0.25">
      <c r="A15" s="153"/>
      <c r="B15" s="178"/>
      <c r="C15" s="163" t="s">
        <v>9</v>
      </c>
      <c r="D15" s="5" t="s">
        <v>47</v>
      </c>
      <c r="E15" s="5" t="s">
        <v>43</v>
      </c>
      <c r="F15" s="2">
        <v>10</v>
      </c>
      <c r="G15" s="2">
        <v>10</v>
      </c>
      <c r="H15" s="11">
        <f t="shared" si="2"/>
        <v>0</v>
      </c>
      <c r="I15" s="19">
        <f t="shared" si="4"/>
        <v>0</v>
      </c>
      <c r="J15" s="108">
        <f>(216*4+228*8)/12</f>
        <v>224</v>
      </c>
    </row>
    <row r="16" spans="1:10" s="13" customFormat="1" ht="25.5" customHeight="1" x14ac:dyDescent="0.25">
      <c r="A16" s="153"/>
      <c r="B16" s="155"/>
      <c r="C16" s="155"/>
      <c r="D16" s="5" t="s">
        <v>47</v>
      </c>
      <c r="E16" s="5" t="s">
        <v>44</v>
      </c>
      <c r="F16" s="2">
        <v>1</v>
      </c>
      <c r="G16" s="2">
        <v>1</v>
      </c>
      <c r="H16" s="11">
        <f t="shared" si="2"/>
        <v>0</v>
      </c>
      <c r="I16" s="19">
        <f t="shared" si="4"/>
        <v>0</v>
      </c>
      <c r="J16" s="109">
        <f>J19+J15+J11</f>
        <v>458</v>
      </c>
    </row>
    <row r="17" spans="1:10" s="13" customFormat="1" ht="25.5" customHeight="1" x14ac:dyDescent="0.25">
      <c r="A17" s="153"/>
      <c r="B17" s="163" t="s">
        <v>10</v>
      </c>
      <c r="C17" s="163" t="s">
        <v>11</v>
      </c>
      <c r="D17" s="5" t="s">
        <v>45</v>
      </c>
      <c r="E17" s="5" t="s">
        <v>43</v>
      </c>
      <c r="F17" s="2">
        <v>43</v>
      </c>
      <c r="G17" s="18">
        <v>44</v>
      </c>
      <c r="H17" s="11">
        <f t="shared" si="2"/>
        <v>-1</v>
      </c>
      <c r="I17" s="19">
        <f t="shared" si="4"/>
        <v>0</v>
      </c>
      <c r="J17" s="21">
        <f>F17+F18</f>
        <v>44</v>
      </c>
    </row>
    <row r="18" spans="1:10" s="13" customFormat="1" ht="38.25" customHeight="1" x14ac:dyDescent="0.25">
      <c r="A18" s="153"/>
      <c r="B18" s="155"/>
      <c r="C18" s="155"/>
      <c r="D18" s="5" t="s">
        <v>46</v>
      </c>
      <c r="E18" s="5" t="s">
        <v>43</v>
      </c>
      <c r="F18" s="2">
        <v>1</v>
      </c>
      <c r="G18" s="18">
        <v>0</v>
      </c>
      <c r="H18" s="11">
        <f t="shared" si="2"/>
        <v>1</v>
      </c>
      <c r="I18" s="21">
        <f>F18-G18-H18</f>
        <v>0</v>
      </c>
      <c r="J18" s="21">
        <f>G17+G18</f>
        <v>44</v>
      </c>
    </row>
    <row r="19" spans="1:10" s="54" customFormat="1" ht="17.25" customHeight="1" thickBot="1" x14ac:dyDescent="0.3">
      <c r="A19" s="154"/>
      <c r="B19" s="51" t="s">
        <v>12</v>
      </c>
      <c r="C19" s="50"/>
      <c r="D19" s="50"/>
      <c r="E19" s="50"/>
      <c r="F19" s="48">
        <f>SUM(F9:F18)</f>
        <v>465</v>
      </c>
      <c r="G19" s="53">
        <f>SUM(G9:G18)</f>
        <v>458</v>
      </c>
      <c r="H19" s="49">
        <f>F19-G19</f>
        <v>7</v>
      </c>
      <c r="I19" s="49">
        <v>0</v>
      </c>
      <c r="J19" s="108">
        <f>(44*4+44*8)/12</f>
        <v>44</v>
      </c>
    </row>
    <row r="20" spans="1:10" s="13" customFormat="1" ht="26.25" customHeight="1" x14ac:dyDescent="0.25">
      <c r="A20" s="160" t="s">
        <v>13</v>
      </c>
      <c r="B20" s="155" t="s">
        <v>4</v>
      </c>
      <c r="C20" s="163" t="s">
        <v>5</v>
      </c>
      <c r="D20" s="5" t="s">
        <v>45</v>
      </c>
      <c r="E20" s="5" t="s">
        <v>43</v>
      </c>
      <c r="F20" s="45">
        <v>274</v>
      </c>
      <c r="G20" s="45">
        <f>296-G21-G22-G23</f>
        <v>284</v>
      </c>
      <c r="H20" s="128">
        <f t="shared" ref="H20:H29" si="5">F20-G20</f>
        <v>-10</v>
      </c>
      <c r="I20" s="47">
        <v>0</v>
      </c>
      <c r="J20" s="19">
        <f>SUM(F20:F23)</f>
        <v>287</v>
      </c>
    </row>
    <row r="21" spans="1:10" s="13" customFormat="1" ht="15.75" customHeight="1" x14ac:dyDescent="0.25">
      <c r="A21" s="160"/>
      <c r="B21" s="155"/>
      <c r="C21" s="155"/>
      <c r="D21" s="5" t="s">
        <v>46</v>
      </c>
      <c r="E21" s="5" t="s">
        <v>43</v>
      </c>
      <c r="F21" s="45">
        <v>2</v>
      </c>
      <c r="G21" s="45">
        <v>2</v>
      </c>
      <c r="H21" s="11">
        <f t="shared" si="5"/>
        <v>0</v>
      </c>
      <c r="I21" s="47"/>
      <c r="J21" s="19">
        <f>SUM(G20:G23)</f>
        <v>296</v>
      </c>
    </row>
    <row r="22" spans="1:10" s="13" customFormat="1" ht="26.25" customHeight="1" x14ac:dyDescent="0.25">
      <c r="A22" s="160"/>
      <c r="B22" s="155"/>
      <c r="C22" s="163" t="s">
        <v>6</v>
      </c>
      <c r="D22" s="5" t="s">
        <v>47</v>
      </c>
      <c r="E22" s="5" t="s">
        <v>43</v>
      </c>
      <c r="F22" s="45">
        <v>6</v>
      </c>
      <c r="G22" s="45">
        <v>6</v>
      </c>
      <c r="H22" s="11">
        <f t="shared" si="5"/>
        <v>0</v>
      </c>
      <c r="I22" s="47"/>
      <c r="J22" s="108">
        <f>(313*4+287*8)/12</f>
        <v>295.66666666666669</v>
      </c>
    </row>
    <row r="23" spans="1:10" s="13" customFormat="1" ht="26.25" customHeight="1" x14ac:dyDescent="0.25">
      <c r="A23" s="161"/>
      <c r="B23" s="156"/>
      <c r="C23" s="155"/>
      <c r="D23" s="5" t="s">
        <v>47</v>
      </c>
      <c r="E23" s="5" t="s">
        <v>44</v>
      </c>
      <c r="F23" s="2">
        <v>5</v>
      </c>
      <c r="G23" s="2">
        <v>4</v>
      </c>
      <c r="H23" s="11">
        <f t="shared" si="5"/>
        <v>1</v>
      </c>
      <c r="I23" s="21">
        <v>0</v>
      </c>
      <c r="J23" s="19"/>
    </row>
    <row r="24" spans="1:10" s="13" customFormat="1" ht="26.25" customHeight="1" x14ac:dyDescent="0.25">
      <c r="A24" s="161"/>
      <c r="B24" s="163" t="s">
        <v>7</v>
      </c>
      <c r="C24" s="163" t="s">
        <v>5</v>
      </c>
      <c r="D24" s="5" t="s">
        <v>45</v>
      </c>
      <c r="E24" s="5" t="s">
        <v>43</v>
      </c>
      <c r="F24" s="2">
        <v>320</v>
      </c>
      <c r="G24" s="2">
        <f>326-G25-G26-G27</f>
        <v>313</v>
      </c>
      <c r="H24" s="11">
        <f t="shared" si="5"/>
        <v>7</v>
      </c>
      <c r="I24" s="21">
        <v>0</v>
      </c>
      <c r="J24" s="19">
        <f>SUM(F24:F27)</f>
        <v>331</v>
      </c>
    </row>
    <row r="25" spans="1:10" s="13" customFormat="1" ht="15" customHeight="1" x14ac:dyDescent="0.25">
      <c r="A25" s="161"/>
      <c r="B25" s="178"/>
      <c r="C25" s="155"/>
      <c r="D25" s="5" t="s">
        <v>46</v>
      </c>
      <c r="E25" s="5" t="s">
        <v>43</v>
      </c>
      <c r="F25" s="2">
        <v>3</v>
      </c>
      <c r="G25" s="2">
        <v>2</v>
      </c>
      <c r="H25" s="11">
        <f t="shared" si="5"/>
        <v>1</v>
      </c>
      <c r="I25" s="21">
        <v>0</v>
      </c>
      <c r="J25" s="19">
        <f>SUM(G24:G27)</f>
        <v>326</v>
      </c>
    </row>
    <row r="26" spans="1:10" s="13" customFormat="1" ht="26.25" customHeight="1" x14ac:dyDescent="0.25">
      <c r="A26" s="161"/>
      <c r="B26" s="178"/>
      <c r="C26" s="163" t="s">
        <v>6</v>
      </c>
      <c r="D26" s="5" t="s">
        <v>47</v>
      </c>
      <c r="E26" s="5" t="s">
        <v>43</v>
      </c>
      <c r="F26" s="2">
        <v>6</v>
      </c>
      <c r="G26" s="2">
        <v>8</v>
      </c>
      <c r="H26" s="11">
        <f t="shared" si="5"/>
        <v>-2</v>
      </c>
      <c r="I26" s="21"/>
      <c r="J26" s="108">
        <f>(316*4+331*8)/12</f>
        <v>326</v>
      </c>
    </row>
    <row r="27" spans="1:10" s="13" customFormat="1" ht="26.25" customHeight="1" x14ac:dyDescent="0.25">
      <c r="A27" s="161"/>
      <c r="B27" s="155"/>
      <c r="C27" s="155"/>
      <c r="D27" s="5" t="s">
        <v>47</v>
      </c>
      <c r="E27" s="5" t="s">
        <v>44</v>
      </c>
      <c r="F27" s="2">
        <v>2</v>
      </c>
      <c r="G27" s="2">
        <v>3</v>
      </c>
      <c r="H27" s="11">
        <f t="shared" si="5"/>
        <v>-1</v>
      </c>
      <c r="I27" s="21"/>
      <c r="J27" s="109">
        <f>J30+J26+J22</f>
        <v>680.66666666666674</v>
      </c>
    </row>
    <row r="28" spans="1:10" s="13" customFormat="1" ht="26.25" customHeight="1" x14ac:dyDescent="0.25">
      <c r="A28" s="161"/>
      <c r="B28" s="163" t="s">
        <v>10</v>
      </c>
      <c r="C28" s="163" t="s">
        <v>11</v>
      </c>
      <c r="D28" s="5" t="s">
        <v>45</v>
      </c>
      <c r="E28" s="5" t="s">
        <v>43</v>
      </c>
      <c r="F28" s="2">
        <v>51</v>
      </c>
      <c r="G28" s="2">
        <f>59-G29</f>
        <v>59</v>
      </c>
      <c r="H28" s="11">
        <f t="shared" si="5"/>
        <v>-8</v>
      </c>
      <c r="I28" s="21"/>
      <c r="J28" s="21">
        <f>F28+F29</f>
        <v>52</v>
      </c>
    </row>
    <row r="29" spans="1:10" s="13" customFormat="1" ht="37.5" customHeight="1" x14ac:dyDescent="0.25">
      <c r="A29" s="161"/>
      <c r="B29" s="155"/>
      <c r="C29" s="155"/>
      <c r="D29" s="5" t="s">
        <v>46</v>
      </c>
      <c r="E29" s="5" t="s">
        <v>43</v>
      </c>
      <c r="F29" s="2">
        <v>1</v>
      </c>
      <c r="G29" s="2">
        <v>0</v>
      </c>
      <c r="H29" s="11">
        <f t="shared" si="5"/>
        <v>1</v>
      </c>
      <c r="I29" s="23">
        <v>0</v>
      </c>
      <c r="J29" s="21">
        <f>G28+G29</f>
        <v>59</v>
      </c>
    </row>
    <row r="30" spans="1:10" s="54" customFormat="1" ht="17.25" customHeight="1" thickBot="1" x14ac:dyDescent="0.3">
      <c r="A30" s="162"/>
      <c r="B30" s="50" t="s">
        <v>12</v>
      </c>
      <c r="C30" s="50"/>
      <c r="D30" s="50"/>
      <c r="E30" s="50"/>
      <c r="F30" s="48">
        <f>SUM(F20:F29)</f>
        <v>670</v>
      </c>
      <c r="G30" s="48">
        <f>SUM(G20:G29)</f>
        <v>681</v>
      </c>
      <c r="H30" s="49">
        <f>F30-G30</f>
        <v>-11</v>
      </c>
      <c r="I30" s="49">
        <v>0</v>
      </c>
      <c r="J30" s="108">
        <f>(73*4+52*8)/12</f>
        <v>59</v>
      </c>
    </row>
    <row r="31" spans="1:10" s="13" customFormat="1" ht="26.25" customHeight="1" x14ac:dyDescent="0.25">
      <c r="A31" s="160" t="s">
        <v>14</v>
      </c>
      <c r="B31" s="155" t="s">
        <v>4</v>
      </c>
      <c r="C31" s="163" t="s">
        <v>5</v>
      </c>
      <c r="D31" s="5" t="s">
        <v>45</v>
      </c>
      <c r="E31" s="5" t="s">
        <v>43</v>
      </c>
      <c r="F31" s="45">
        <v>239</v>
      </c>
      <c r="G31" s="137">
        <f>246-G32-G33-G34</f>
        <v>235</v>
      </c>
      <c r="H31" s="128">
        <f t="shared" ref="H31:H40" si="6">F31-G31</f>
        <v>4</v>
      </c>
      <c r="I31" s="46">
        <f>F31-G31-H31</f>
        <v>0</v>
      </c>
      <c r="J31" s="19">
        <f>SUM(F31:F34)</f>
        <v>247</v>
      </c>
    </row>
    <row r="32" spans="1:10" s="13" customFormat="1" ht="26.25" customHeight="1" x14ac:dyDescent="0.25">
      <c r="A32" s="160"/>
      <c r="B32" s="155"/>
      <c r="C32" s="155"/>
      <c r="D32" s="5" t="s">
        <v>46</v>
      </c>
      <c r="E32" s="5" t="s">
        <v>43</v>
      </c>
      <c r="F32" s="45">
        <v>1</v>
      </c>
      <c r="G32" s="45">
        <v>7</v>
      </c>
      <c r="H32" s="11">
        <f t="shared" si="6"/>
        <v>-6</v>
      </c>
      <c r="I32" s="46"/>
      <c r="J32" s="19">
        <f>SUM(G31:G34)</f>
        <v>246</v>
      </c>
    </row>
    <row r="33" spans="1:10" s="13" customFormat="1" ht="26.25" customHeight="1" x14ac:dyDescent="0.25">
      <c r="A33" s="160"/>
      <c r="B33" s="155"/>
      <c r="C33" s="163" t="s">
        <v>6</v>
      </c>
      <c r="D33" s="5" t="s">
        <v>47</v>
      </c>
      <c r="E33" s="5" t="s">
        <v>43</v>
      </c>
      <c r="F33" s="45">
        <v>2</v>
      </c>
      <c r="G33" s="45">
        <v>0</v>
      </c>
      <c r="H33" s="11">
        <f t="shared" si="6"/>
        <v>2</v>
      </c>
      <c r="I33" s="46"/>
      <c r="J33" s="108">
        <f>(243*4+247*8)/12</f>
        <v>245.66666666666666</v>
      </c>
    </row>
    <row r="34" spans="1:10" s="13" customFormat="1" ht="26.25" customHeight="1" x14ac:dyDescent="0.25">
      <c r="A34" s="161"/>
      <c r="B34" s="156"/>
      <c r="C34" s="155"/>
      <c r="D34" s="5" t="s">
        <v>47</v>
      </c>
      <c r="E34" s="5" t="s">
        <v>44</v>
      </c>
      <c r="F34" s="2">
        <v>5</v>
      </c>
      <c r="G34" s="2">
        <v>4</v>
      </c>
      <c r="H34" s="11">
        <f t="shared" si="6"/>
        <v>1</v>
      </c>
      <c r="I34" s="19">
        <v>0</v>
      </c>
      <c r="J34" s="19"/>
    </row>
    <row r="35" spans="1:10" s="13" customFormat="1" ht="26.25" customHeight="1" x14ac:dyDescent="0.25">
      <c r="A35" s="161"/>
      <c r="B35" s="163" t="s">
        <v>7</v>
      </c>
      <c r="C35" s="163" t="s">
        <v>5</v>
      </c>
      <c r="D35" s="5" t="s">
        <v>45</v>
      </c>
      <c r="E35" s="5" t="s">
        <v>43</v>
      </c>
      <c r="F35" s="2">
        <v>252</v>
      </c>
      <c r="G35" s="2">
        <f>263-G36-G37-G38</f>
        <v>255</v>
      </c>
      <c r="H35" s="11">
        <f t="shared" si="6"/>
        <v>-3</v>
      </c>
      <c r="I35" s="19"/>
      <c r="J35" s="19">
        <f>SUM(F35:F38)</f>
        <v>263</v>
      </c>
    </row>
    <row r="36" spans="1:10" s="13" customFormat="1" ht="13.5" customHeight="1" x14ac:dyDescent="0.25">
      <c r="A36" s="161"/>
      <c r="B36" s="178"/>
      <c r="C36" s="155"/>
      <c r="D36" s="5" t="s">
        <v>46</v>
      </c>
      <c r="E36" s="5" t="s">
        <v>43</v>
      </c>
      <c r="F36" s="2">
        <v>2</v>
      </c>
      <c r="G36" s="2">
        <v>3</v>
      </c>
      <c r="H36" s="11">
        <f t="shared" si="6"/>
        <v>-1</v>
      </c>
      <c r="I36" s="19">
        <f>F36-G36-H36</f>
        <v>0</v>
      </c>
      <c r="J36" s="19">
        <f>SUM(G35:G38)</f>
        <v>263</v>
      </c>
    </row>
    <row r="37" spans="1:10" s="13" customFormat="1" ht="26.25" customHeight="1" x14ac:dyDescent="0.25">
      <c r="A37" s="161"/>
      <c r="B37" s="178"/>
      <c r="C37" s="163" t="s">
        <v>6</v>
      </c>
      <c r="D37" s="5" t="s">
        <v>47</v>
      </c>
      <c r="E37" s="5" t="s">
        <v>43</v>
      </c>
      <c r="F37" s="2">
        <v>8</v>
      </c>
      <c r="G37" s="2">
        <v>4</v>
      </c>
      <c r="H37" s="11">
        <f t="shared" si="6"/>
        <v>4</v>
      </c>
      <c r="I37" s="19">
        <v>0</v>
      </c>
      <c r="J37" s="108">
        <f>(263*4+263*8)/12</f>
        <v>263</v>
      </c>
    </row>
    <row r="38" spans="1:10" s="13" customFormat="1" ht="26.25" customHeight="1" x14ac:dyDescent="0.25">
      <c r="A38" s="161"/>
      <c r="B38" s="155"/>
      <c r="C38" s="155"/>
      <c r="D38" s="5" t="s">
        <v>47</v>
      </c>
      <c r="E38" s="5" t="s">
        <v>44</v>
      </c>
      <c r="F38" s="2">
        <v>1</v>
      </c>
      <c r="G38" s="2">
        <v>1</v>
      </c>
      <c r="H38" s="11">
        <f t="shared" si="6"/>
        <v>0</v>
      </c>
      <c r="I38" s="19"/>
      <c r="J38" s="109">
        <f>J41+J37+J33</f>
        <v>552.33333333333337</v>
      </c>
    </row>
    <row r="39" spans="1:10" s="13" customFormat="1" ht="26.25" customHeight="1" x14ac:dyDescent="0.25">
      <c r="A39" s="161"/>
      <c r="B39" s="163" t="s">
        <v>10</v>
      </c>
      <c r="C39" s="163" t="s">
        <v>11</v>
      </c>
      <c r="D39" s="5" t="s">
        <v>45</v>
      </c>
      <c r="E39" s="5" t="s">
        <v>43</v>
      </c>
      <c r="F39" s="2">
        <v>43</v>
      </c>
      <c r="G39" s="18">
        <f>44-G40</f>
        <v>44</v>
      </c>
      <c r="H39" s="11">
        <f t="shared" si="6"/>
        <v>-1</v>
      </c>
      <c r="I39" s="19"/>
      <c r="J39" s="21">
        <f>F39+F40</f>
        <v>43</v>
      </c>
    </row>
    <row r="40" spans="1:10" s="13" customFormat="1" ht="39" customHeight="1" x14ac:dyDescent="0.25">
      <c r="A40" s="161"/>
      <c r="B40" s="155"/>
      <c r="C40" s="155"/>
      <c r="D40" s="5" t="s">
        <v>46</v>
      </c>
      <c r="E40" s="5" t="s">
        <v>43</v>
      </c>
      <c r="F40" s="2">
        <v>0</v>
      </c>
      <c r="G40" s="18">
        <v>0</v>
      </c>
      <c r="H40" s="11">
        <f t="shared" si="6"/>
        <v>0</v>
      </c>
      <c r="I40" s="19">
        <v>0</v>
      </c>
      <c r="J40" s="21">
        <f>G39+G40</f>
        <v>44</v>
      </c>
    </row>
    <row r="41" spans="1:10" s="54" customFormat="1" ht="17.25" customHeight="1" thickBot="1" x14ac:dyDescent="0.3">
      <c r="A41" s="180"/>
      <c r="B41" s="123" t="s">
        <v>12</v>
      </c>
      <c r="C41" s="124"/>
      <c r="D41" s="124"/>
      <c r="E41" s="124"/>
      <c r="F41" s="125">
        <f>SUM(F31:F40)</f>
        <v>553</v>
      </c>
      <c r="G41" s="125">
        <f>SUM(G31:G40)</f>
        <v>553</v>
      </c>
      <c r="H41" s="49">
        <f>F41-G41</f>
        <v>0</v>
      </c>
      <c r="I41" s="126"/>
      <c r="J41" s="127">
        <f>(45*4+43*8)/12</f>
        <v>43.666666666666664</v>
      </c>
    </row>
    <row r="42" spans="1:10" s="13" customFormat="1" ht="24.75" customHeight="1" x14ac:dyDescent="0.25">
      <c r="A42" s="157" t="s">
        <v>15</v>
      </c>
      <c r="B42" s="185" t="s">
        <v>4</v>
      </c>
      <c r="C42" s="185" t="s">
        <v>5</v>
      </c>
      <c r="D42" s="78" t="s">
        <v>45</v>
      </c>
      <c r="E42" s="78" t="s">
        <v>43</v>
      </c>
      <c r="F42" s="79">
        <v>247</v>
      </c>
      <c r="G42" s="79">
        <f>248-G43-G44-G45</f>
        <v>243</v>
      </c>
      <c r="H42" s="128">
        <f t="shared" ref="H42:H51" si="7">F42-G42</f>
        <v>4</v>
      </c>
      <c r="I42" s="80">
        <f>F42-G42-H42</f>
        <v>0</v>
      </c>
      <c r="J42" s="129">
        <f>SUM(F42:F45)</f>
        <v>252</v>
      </c>
    </row>
    <row r="43" spans="1:10" s="13" customFormat="1" ht="24.75" customHeight="1" x14ac:dyDescent="0.25">
      <c r="A43" s="158"/>
      <c r="B43" s="156"/>
      <c r="C43" s="156"/>
      <c r="D43" s="5" t="s">
        <v>46</v>
      </c>
      <c r="E43" s="5" t="s">
        <v>43</v>
      </c>
      <c r="F43" s="18">
        <v>2</v>
      </c>
      <c r="G43" s="18">
        <v>2</v>
      </c>
      <c r="H43" s="11">
        <f t="shared" si="7"/>
        <v>0</v>
      </c>
      <c r="I43" s="22">
        <v>0</v>
      </c>
      <c r="J43" s="130">
        <f>SUM(G42:G45)</f>
        <v>248</v>
      </c>
    </row>
    <row r="44" spans="1:10" s="13" customFormat="1" ht="24.75" customHeight="1" x14ac:dyDescent="0.25">
      <c r="A44" s="158"/>
      <c r="B44" s="156"/>
      <c r="C44" s="156" t="s">
        <v>6</v>
      </c>
      <c r="D44" s="5" t="s">
        <v>47</v>
      </c>
      <c r="E44" s="5" t="s">
        <v>43</v>
      </c>
      <c r="F44" s="18">
        <v>1</v>
      </c>
      <c r="G44" s="18">
        <v>1</v>
      </c>
      <c r="H44" s="11">
        <f t="shared" si="7"/>
        <v>0</v>
      </c>
      <c r="I44" s="22">
        <v>0</v>
      </c>
      <c r="J44" s="131">
        <f>(240*4+252*8)/12</f>
        <v>248</v>
      </c>
    </row>
    <row r="45" spans="1:10" s="13" customFormat="1" ht="24.75" customHeight="1" x14ac:dyDescent="0.25">
      <c r="A45" s="158"/>
      <c r="B45" s="156"/>
      <c r="C45" s="156"/>
      <c r="D45" s="5" t="s">
        <v>47</v>
      </c>
      <c r="E45" s="5" t="s">
        <v>44</v>
      </c>
      <c r="F45" s="18">
        <v>2</v>
      </c>
      <c r="G45" s="18">
        <v>2</v>
      </c>
      <c r="H45" s="11">
        <f t="shared" si="7"/>
        <v>0</v>
      </c>
      <c r="I45" s="22">
        <v>0</v>
      </c>
      <c r="J45" s="130"/>
    </row>
    <row r="46" spans="1:10" s="13" customFormat="1" ht="24.75" customHeight="1" x14ac:dyDescent="0.25">
      <c r="A46" s="158"/>
      <c r="B46" s="156" t="s">
        <v>7</v>
      </c>
      <c r="C46" s="156" t="s">
        <v>5</v>
      </c>
      <c r="D46" s="5" t="s">
        <v>45</v>
      </c>
      <c r="E46" s="5" t="s">
        <v>43</v>
      </c>
      <c r="F46" s="18">
        <v>280</v>
      </c>
      <c r="G46" s="18">
        <f>294-G47-G48-G49</f>
        <v>281</v>
      </c>
      <c r="H46" s="11">
        <f t="shared" si="7"/>
        <v>-1</v>
      </c>
      <c r="I46" s="22">
        <v>0</v>
      </c>
      <c r="J46" s="130">
        <f>SUM(F46:F49)</f>
        <v>293</v>
      </c>
    </row>
    <row r="47" spans="1:10" s="13" customFormat="1" ht="14.25" customHeight="1" x14ac:dyDescent="0.25">
      <c r="A47" s="158"/>
      <c r="B47" s="156"/>
      <c r="C47" s="156"/>
      <c r="D47" s="5" t="s">
        <v>46</v>
      </c>
      <c r="E47" s="5" t="s">
        <v>43</v>
      </c>
      <c r="F47" s="18">
        <v>4</v>
      </c>
      <c r="G47" s="18">
        <v>4</v>
      </c>
      <c r="H47" s="11">
        <f t="shared" si="7"/>
        <v>0</v>
      </c>
      <c r="I47" s="22">
        <f>F47-G47-H47</f>
        <v>0</v>
      </c>
      <c r="J47" s="130">
        <f>SUM(G46:G49)</f>
        <v>294</v>
      </c>
    </row>
    <row r="48" spans="1:10" s="13" customFormat="1" ht="24.75" customHeight="1" x14ac:dyDescent="0.25">
      <c r="A48" s="158"/>
      <c r="B48" s="156"/>
      <c r="C48" s="156" t="s">
        <v>6</v>
      </c>
      <c r="D48" s="5" t="s">
        <v>47</v>
      </c>
      <c r="E48" s="5" t="s">
        <v>43</v>
      </c>
      <c r="F48" s="18">
        <v>8</v>
      </c>
      <c r="G48" s="18">
        <v>8</v>
      </c>
      <c r="H48" s="11">
        <f t="shared" si="7"/>
        <v>0</v>
      </c>
      <c r="I48" s="22">
        <f t="shared" ref="I48:I50" si="8">F48-G48-H48</f>
        <v>0</v>
      </c>
      <c r="J48" s="131">
        <f>(296*4+293*8)/12</f>
        <v>294</v>
      </c>
    </row>
    <row r="49" spans="1:10" s="13" customFormat="1" ht="24.75" customHeight="1" x14ac:dyDescent="0.25">
      <c r="A49" s="158"/>
      <c r="B49" s="156"/>
      <c r="C49" s="156"/>
      <c r="D49" s="5" t="s">
        <v>47</v>
      </c>
      <c r="E49" s="5" t="s">
        <v>44</v>
      </c>
      <c r="F49" s="18">
        <v>1</v>
      </c>
      <c r="G49" s="18">
        <v>1</v>
      </c>
      <c r="H49" s="11">
        <f t="shared" si="7"/>
        <v>0</v>
      </c>
      <c r="I49" s="22">
        <f t="shared" si="8"/>
        <v>0</v>
      </c>
      <c r="J49" s="132">
        <f>J52+J48+J44</f>
        <v>601.33333333333326</v>
      </c>
    </row>
    <row r="50" spans="1:10" s="13" customFormat="1" ht="24.75" customHeight="1" x14ac:dyDescent="0.25">
      <c r="A50" s="158"/>
      <c r="B50" s="156" t="s">
        <v>10</v>
      </c>
      <c r="C50" s="156" t="s">
        <v>11</v>
      </c>
      <c r="D50" s="5" t="s">
        <v>45</v>
      </c>
      <c r="E50" s="5" t="s">
        <v>43</v>
      </c>
      <c r="F50" s="18">
        <v>60</v>
      </c>
      <c r="G50" s="18">
        <f>59-G51</f>
        <v>59</v>
      </c>
      <c r="H50" s="11">
        <f t="shared" si="7"/>
        <v>1</v>
      </c>
      <c r="I50" s="22">
        <f t="shared" si="8"/>
        <v>0</v>
      </c>
      <c r="J50" s="133">
        <f>F50+F51</f>
        <v>60</v>
      </c>
    </row>
    <row r="51" spans="1:10" s="13" customFormat="1" ht="39.75" customHeight="1" x14ac:dyDescent="0.25">
      <c r="A51" s="158"/>
      <c r="B51" s="156"/>
      <c r="C51" s="156"/>
      <c r="D51" s="5" t="s">
        <v>46</v>
      </c>
      <c r="E51" s="5" t="s">
        <v>43</v>
      </c>
      <c r="F51" s="18">
        <v>0</v>
      </c>
      <c r="G51" s="18">
        <v>0</v>
      </c>
      <c r="H51" s="11">
        <f t="shared" si="7"/>
        <v>0</v>
      </c>
      <c r="I51" s="22">
        <f>F51-G51-H51</f>
        <v>0</v>
      </c>
      <c r="J51" s="133">
        <f>G50+G51</f>
        <v>59</v>
      </c>
    </row>
    <row r="52" spans="1:10" s="54" customFormat="1" ht="17.25" customHeight="1" thickBot="1" x14ac:dyDescent="0.3">
      <c r="A52" s="159"/>
      <c r="B52" s="55"/>
      <c r="C52" s="55"/>
      <c r="D52" s="55"/>
      <c r="E52" s="55"/>
      <c r="F52" s="53">
        <f>SUM(F42:F51)</f>
        <v>605</v>
      </c>
      <c r="G52" s="53">
        <f>SUM(G42:G51)</f>
        <v>601</v>
      </c>
      <c r="H52" s="49">
        <f>F52-G52</f>
        <v>4</v>
      </c>
      <c r="I52" s="52">
        <v>0</v>
      </c>
      <c r="J52" s="134">
        <f>(58*4+60*8)/12</f>
        <v>59.333333333333336</v>
      </c>
    </row>
    <row r="53" spans="1:10" s="54" customFormat="1" ht="17.25" hidden="1" customHeight="1" x14ac:dyDescent="0.25">
      <c r="A53" s="75"/>
      <c r="B53" s="68" t="s">
        <v>18</v>
      </c>
      <c r="C53" s="76"/>
      <c r="D53" s="76"/>
      <c r="E53" s="76"/>
      <c r="F53" s="64">
        <f>F52+F41+F30+F19</f>
        <v>2293</v>
      </c>
      <c r="G53" s="64">
        <f>G52+G41+G30+G19</f>
        <v>2293</v>
      </c>
      <c r="H53" s="64">
        <f>H52+H41+H30+H19</f>
        <v>0</v>
      </c>
      <c r="I53" s="64">
        <f>I52+I41+I30+I19</f>
        <v>0</v>
      </c>
      <c r="J53" s="106">
        <f>J16+J27+J38+J49</f>
        <v>2292.333333333333</v>
      </c>
    </row>
    <row r="54" spans="1:10" ht="26.25" hidden="1" customHeight="1" x14ac:dyDescent="0.25">
      <c r="B54" s="68" t="s">
        <v>48</v>
      </c>
      <c r="C54" s="181" t="s">
        <v>49</v>
      </c>
      <c r="D54" s="87" t="s">
        <v>45</v>
      </c>
      <c r="E54" s="87" t="s">
        <v>43</v>
      </c>
      <c r="F54" s="88">
        <f t="shared" ref="F54:I55" si="9">F9+F13+F17+F20+F24+F28+F31+F35+F39+F42+F46+F50</f>
        <v>2214</v>
      </c>
      <c r="G54" s="88">
        <f t="shared" si="9"/>
        <v>2211</v>
      </c>
      <c r="H54" s="88">
        <f t="shared" si="9"/>
        <v>3</v>
      </c>
      <c r="I54" s="88">
        <f t="shared" si="9"/>
        <v>0</v>
      </c>
    </row>
    <row r="55" spans="1:10" ht="17.25" hidden="1" customHeight="1" x14ac:dyDescent="0.25">
      <c r="C55" s="182"/>
      <c r="D55" s="87" t="s">
        <v>46</v>
      </c>
      <c r="E55" s="87" t="s">
        <v>43</v>
      </c>
      <c r="F55" s="88">
        <f t="shared" si="9"/>
        <v>17</v>
      </c>
      <c r="G55" s="88">
        <f t="shared" si="9"/>
        <v>24</v>
      </c>
      <c r="H55" s="88">
        <f t="shared" si="9"/>
        <v>-7</v>
      </c>
      <c r="I55" s="88">
        <f t="shared" si="9"/>
        <v>0</v>
      </c>
      <c r="J55" s="77"/>
    </row>
    <row r="56" spans="1:10" ht="17.25" hidden="1" customHeight="1" x14ac:dyDescent="0.25">
      <c r="A56" s="82"/>
      <c r="B56" s="68"/>
      <c r="C56" s="181" t="s">
        <v>50</v>
      </c>
      <c r="D56" s="87" t="s">
        <v>47</v>
      </c>
      <c r="E56" s="87" t="s">
        <v>43</v>
      </c>
      <c r="F56" s="58">
        <f t="shared" ref="F56:I57" si="10">F11+F15+F22+F26+F33+F37+F44+F48</f>
        <v>45</v>
      </c>
      <c r="G56" s="58">
        <f t="shared" si="10"/>
        <v>40</v>
      </c>
      <c r="H56" s="58">
        <f t="shared" si="10"/>
        <v>5</v>
      </c>
      <c r="I56" s="58">
        <f t="shared" si="10"/>
        <v>0</v>
      </c>
      <c r="J56" s="106"/>
    </row>
    <row r="57" spans="1:10" ht="22.5" hidden="1" customHeight="1" thickBot="1" x14ac:dyDescent="0.3">
      <c r="A57" s="83"/>
      <c r="B57" s="84"/>
      <c r="C57" s="183"/>
      <c r="D57" s="51" t="s">
        <v>47</v>
      </c>
      <c r="E57" s="51" t="s">
        <v>44</v>
      </c>
      <c r="F57" s="86">
        <f t="shared" si="10"/>
        <v>17</v>
      </c>
      <c r="G57" s="86">
        <f t="shared" si="10"/>
        <v>18</v>
      </c>
      <c r="H57" s="86">
        <f t="shared" si="10"/>
        <v>-1</v>
      </c>
      <c r="I57" s="86">
        <f t="shared" si="10"/>
        <v>0</v>
      </c>
      <c r="J57" s="107"/>
    </row>
    <row r="58" spans="1:10" ht="15.75" hidden="1" customHeight="1" x14ac:dyDescent="0.25">
      <c r="A58" s="81">
        <f>A7</f>
        <v>1</v>
      </c>
      <c r="B58" s="81">
        <f>B7</f>
        <v>2</v>
      </c>
      <c r="C58" s="81">
        <f>C7</f>
        <v>3</v>
      </c>
      <c r="D58" s="81"/>
      <c r="E58" s="81"/>
      <c r="F58" s="81">
        <f>F7</f>
        <v>6</v>
      </c>
      <c r="G58" s="112">
        <f>G7</f>
        <v>7</v>
      </c>
      <c r="H58" s="81">
        <f>H7</f>
        <v>8</v>
      </c>
      <c r="I58" s="81">
        <f>I7</f>
        <v>9</v>
      </c>
      <c r="J58" s="81"/>
    </row>
    <row r="59" spans="1:10" ht="15.75" customHeight="1" x14ac:dyDescent="0.25">
      <c r="A59" s="142" t="s">
        <v>64</v>
      </c>
      <c r="B59" s="143"/>
      <c r="C59" s="143"/>
      <c r="D59" s="143"/>
      <c r="E59" s="143"/>
      <c r="F59" s="143"/>
      <c r="G59" s="143"/>
      <c r="H59" s="143"/>
      <c r="I59" s="144"/>
      <c r="J59" s="81"/>
    </row>
    <row r="60" spans="1:10" ht="17.25" customHeight="1" x14ac:dyDescent="0.25">
      <c r="A60" s="146" t="s">
        <v>17</v>
      </c>
      <c r="B60" s="152" t="s">
        <v>19</v>
      </c>
      <c r="C60" s="45" t="s">
        <v>12</v>
      </c>
      <c r="D60" s="45"/>
      <c r="E60" s="45"/>
      <c r="F60" s="64">
        <f>SUM(F61:F63)</f>
        <v>484</v>
      </c>
      <c r="G60" s="92">
        <f t="shared" ref="G60:I60" si="11">SUM(G61:G63)</f>
        <v>472</v>
      </c>
      <c r="H60" s="65">
        <f t="shared" si="11"/>
        <v>12</v>
      </c>
      <c r="I60" s="65">
        <f t="shared" si="11"/>
        <v>0</v>
      </c>
      <c r="J60" s="65"/>
    </row>
    <row r="61" spans="1:10" ht="17.25" customHeight="1" x14ac:dyDescent="0.25">
      <c r="A61" s="147"/>
      <c r="B61" s="153"/>
      <c r="C61" s="3" t="str">
        <f>'[1]субс с налогом ПУ'!C30</f>
        <v>дети-инвалиды</v>
      </c>
      <c r="D61" s="3"/>
      <c r="E61" s="5" t="s">
        <v>43</v>
      </c>
      <c r="F61" s="9">
        <v>4</v>
      </c>
      <c r="G61" s="93">
        <v>4</v>
      </c>
      <c r="H61" s="11">
        <f t="shared" ref="H61:H63" si="12">F61-G61</f>
        <v>0</v>
      </c>
      <c r="I61" s="19"/>
      <c r="J61" s="19"/>
    </row>
    <row r="62" spans="1:10" ht="42" customHeight="1" x14ac:dyDescent="0.25">
      <c r="A62" s="147"/>
      <c r="B62" s="153"/>
      <c r="C62" s="3" t="str">
        <f>'[1]субс с налогом ПУ'!C31</f>
        <v>дети-сироты и дети, оставшиеся без попечения родителей</v>
      </c>
      <c r="D62" s="3"/>
      <c r="E62" s="5" t="s">
        <v>43</v>
      </c>
      <c r="F62" s="9">
        <v>0</v>
      </c>
      <c r="G62" s="93">
        <v>0</v>
      </c>
      <c r="H62" s="11">
        <f t="shared" si="12"/>
        <v>0</v>
      </c>
      <c r="I62" s="19">
        <f>F62-G62-H62</f>
        <v>0</v>
      </c>
      <c r="J62" s="19"/>
    </row>
    <row r="63" spans="1:10" ht="36.75" customHeight="1" x14ac:dyDescent="0.25">
      <c r="A63" s="147"/>
      <c r="B63" s="146"/>
      <c r="C63" s="4" t="str">
        <f>'[1]субс с налогом ПУ'!C32</f>
        <v>физические лица за исключением льготных категорий</v>
      </c>
      <c r="D63" s="4"/>
      <c r="E63" s="5" t="s">
        <v>43</v>
      </c>
      <c r="F63" s="17">
        <v>480</v>
      </c>
      <c r="G63" s="94">
        <v>468</v>
      </c>
      <c r="H63" s="11">
        <f t="shared" si="12"/>
        <v>12</v>
      </c>
      <c r="I63" s="20">
        <v>0</v>
      </c>
      <c r="J63" s="20"/>
    </row>
    <row r="64" spans="1:10" ht="17.25" customHeight="1" x14ac:dyDescent="0.25">
      <c r="A64" s="147"/>
      <c r="B64" s="150" t="s">
        <v>20</v>
      </c>
      <c r="C64" s="2" t="s">
        <v>12</v>
      </c>
      <c r="D64" s="2"/>
      <c r="E64" s="2"/>
      <c r="F64" s="57">
        <f>SUM(F65:F66)</f>
        <v>484</v>
      </c>
      <c r="G64" s="89">
        <f t="shared" ref="G64:I64" si="13">SUM(G65:G66)</f>
        <v>472</v>
      </c>
      <c r="H64" s="58">
        <f t="shared" si="13"/>
        <v>12</v>
      </c>
      <c r="I64" s="58">
        <f t="shared" si="13"/>
        <v>0</v>
      </c>
      <c r="J64" s="58"/>
    </row>
    <row r="65" spans="1:10" ht="15.75" customHeight="1" x14ac:dyDescent="0.25">
      <c r="A65" s="147"/>
      <c r="B65" s="150"/>
      <c r="C65" s="60" t="s">
        <v>21</v>
      </c>
      <c r="D65" s="60" t="s">
        <v>51</v>
      </c>
      <c r="E65" s="5" t="s">
        <v>43</v>
      </c>
      <c r="F65" s="11">
        <v>80</v>
      </c>
      <c r="G65" s="90">
        <v>84</v>
      </c>
      <c r="H65" s="11">
        <f>F65-G65</f>
        <v>-4</v>
      </c>
      <c r="I65" s="11">
        <v>0</v>
      </c>
      <c r="J65" s="11"/>
    </row>
    <row r="66" spans="1:10" ht="18" customHeight="1" thickBot="1" x14ac:dyDescent="0.3">
      <c r="A66" s="148"/>
      <c r="B66" s="179"/>
      <c r="C66" s="10" t="s">
        <v>22</v>
      </c>
      <c r="D66" s="10" t="s">
        <v>51</v>
      </c>
      <c r="E66" s="85" t="s">
        <v>43</v>
      </c>
      <c r="F66" s="16">
        <v>404</v>
      </c>
      <c r="G66" s="91">
        <v>388</v>
      </c>
      <c r="H66" s="16">
        <f>F66-G66</f>
        <v>16</v>
      </c>
      <c r="I66" s="16">
        <v>0</v>
      </c>
      <c r="J66" s="16"/>
    </row>
    <row r="67" spans="1:10" s="27" customFormat="1" ht="15" customHeight="1" x14ac:dyDescent="0.25">
      <c r="A67" s="172" t="s">
        <v>23</v>
      </c>
      <c r="B67" s="174" t="s">
        <v>18</v>
      </c>
      <c r="C67" s="174"/>
      <c r="D67" s="69"/>
      <c r="E67" s="69"/>
      <c r="F67" s="24"/>
      <c r="G67" s="73"/>
      <c r="H67" s="24"/>
      <c r="I67" s="24"/>
      <c r="J67" s="24"/>
    </row>
    <row r="68" spans="1:10" s="38" customFormat="1" x14ac:dyDescent="0.25">
      <c r="A68" s="167"/>
      <c r="B68" s="170" t="s">
        <v>19</v>
      </c>
      <c r="C68" s="56" t="s">
        <v>12</v>
      </c>
      <c r="D68" s="56"/>
      <c r="E68" s="56"/>
      <c r="F68" s="57">
        <f>SUM(F69:F71)</f>
        <v>210</v>
      </c>
      <c r="G68" s="89">
        <f t="shared" ref="G68" si="14">SUM(G69:G71)</f>
        <v>205</v>
      </c>
      <c r="H68" s="57">
        <f>SUM(H69:H71)</f>
        <v>5</v>
      </c>
      <c r="I68" s="57">
        <f>SUM(I69:I71)</f>
        <v>0</v>
      </c>
      <c r="J68" s="57"/>
    </row>
    <row r="69" spans="1:10" s="27" customFormat="1" x14ac:dyDescent="0.25">
      <c r="A69" s="167"/>
      <c r="B69" s="170"/>
      <c r="C69" s="29" t="str">
        <f>C61</f>
        <v>дети-инвалиды</v>
      </c>
      <c r="D69" s="29"/>
      <c r="E69" s="5" t="s">
        <v>43</v>
      </c>
      <c r="F69" s="11">
        <v>3</v>
      </c>
      <c r="G69" s="90">
        <v>1</v>
      </c>
      <c r="H69" s="11">
        <v>2</v>
      </c>
      <c r="I69" s="31">
        <f>F69-G69-H69</f>
        <v>0</v>
      </c>
      <c r="J69" s="11"/>
    </row>
    <row r="70" spans="1:10" s="27" customFormat="1" ht="37.5" customHeight="1" x14ac:dyDescent="0.25">
      <c r="A70" s="167"/>
      <c r="B70" s="170"/>
      <c r="C70" s="29" t="str">
        <f t="shared" ref="C70:C71" si="15">C62</f>
        <v>дети-сироты и дети, оставшиеся без попечения родителей</v>
      </c>
      <c r="D70" s="29"/>
      <c r="E70" s="5" t="s">
        <v>43</v>
      </c>
      <c r="F70" s="11">
        <v>3</v>
      </c>
      <c r="G70" s="90">
        <v>3</v>
      </c>
      <c r="H70" s="11">
        <f t="shared" ref="H70:H71" si="16">F70-G70</f>
        <v>0</v>
      </c>
      <c r="I70" s="11">
        <f>F70-G70-H70</f>
        <v>0</v>
      </c>
      <c r="J70" s="11"/>
    </row>
    <row r="71" spans="1:10" s="27" customFormat="1" ht="36.75" customHeight="1" x14ac:dyDescent="0.25">
      <c r="A71" s="167"/>
      <c r="B71" s="175"/>
      <c r="C71" s="30" t="str">
        <f t="shared" si="15"/>
        <v>физические лица за исключением льготных категорий</v>
      </c>
      <c r="D71" s="30"/>
      <c r="E71" s="5" t="s">
        <v>43</v>
      </c>
      <c r="F71" s="31">
        <v>204</v>
      </c>
      <c r="G71" s="110">
        <v>201</v>
      </c>
      <c r="H71" s="11">
        <f t="shared" si="16"/>
        <v>3</v>
      </c>
      <c r="I71" s="31">
        <v>0</v>
      </c>
      <c r="J71" s="31"/>
    </row>
    <row r="72" spans="1:10" s="38" customFormat="1" ht="15.75" customHeight="1" x14ac:dyDescent="0.25">
      <c r="A72" s="167"/>
      <c r="B72" s="176" t="s">
        <v>20</v>
      </c>
      <c r="C72" s="56" t="s">
        <v>12</v>
      </c>
      <c r="D72" s="56"/>
      <c r="E72" s="56"/>
      <c r="F72" s="57">
        <f>SUM(F73:F74)</f>
        <v>210</v>
      </c>
      <c r="G72" s="89">
        <f t="shared" ref="G72" si="17">SUM(G73:G74)</f>
        <v>205</v>
      </c>
      <c r="H72" s="57">
        <f>SUM(H73:H74)</f>
        <v>5</v>
      </c>
      <c r="I72" s="57">
        <f>SUM(I73:I74)</f>
        <v>0</v>
      </c>
      <c r="J72" s="57"/>
    </row>
    <row r="73" spans="1:10" s="27" customFormat="1" ht="15.75" customHeight="1" x14ac:dyDescent="0.25">
      <c r="A73" s="167"/>
      <c r="B73" s="176"/>
      <c r="C73" s="32" t="s">
        <v>21</v>
      </c>
      <c r="D73" s="60" t="s">
        <v>51</v>
      </c>
      <c r="E73" s="5" t="s">
        <v>43</v>
      </c>
      <c r="F73" s="11">
        <v>30</v>
      </c>
      <c r="G73" s="90">
        <v>43</v>
      </c>
      <c r="H73" s="11">
        <v>-4</v>
      </c>
      <c r="I73" s="31">
        <f>F73-G73-H73</f>
        <v>-9</v>
      </c>
      <c r="J73" s="11"/>
    </row>
    <row r="74" spans="1:10" s="27" customFormat="1" ht="15.75" customHeight="1" thickBot="1" x14ac:dyDescent="0.3">
      <c r="A74" s="173"/>
      <c r="B74" s="177"/>
      <c r="C74" s="95" t="s">
        <v>22</v>
      </c>
      <c r="D74" s="60" t="s">
        <v>51</v>
      </c>
      <c r="E74" s="96" t="s">
        <v>43</v>
      </c>
      <c r="F74" s="31">
        <v>180</v>
      </c>
      <c r="G74" s="110">
        <v>162</v>
      </c>
      <c r="H74" s="16">
        <f>9</f>
        <v>9</v>
      </c>
      <c r="I74" s="31">
        <f>F74-G74-H74</f>
        <v>9</v>
      </c>
      <c r="J74" s="31"/>
    </row>
    <row r="75" spans="1:10" s="38" customFormat="1" ht="15" customHeight="1" x14ac:dyDescent="0.25">
      <c r="A75" s="166" t="s">
        <v>24</v>
      </c>
      <c r="B75" s="169" t="s">
        <v>18</v>
      </c>
      <c r="C75" s="169"/>
      <c r="D75" s="97"/>
      <c r="E75" s="97"/>
      <c r="F75" s="63"/>
      <c r="G75" s="98"/>
      <c r="H75" s="63"/>
      <c r="I75" s="63"/>
      <c r="J75" s="63"/>
    </row>
    <row r="76" spans="1:10" s="38" customFormat="1" x14ac:dyDescent="0.25">
      <c r="A76" s="167"/>
      <c r="B76" s="170" t="s">
        <v>19</v>
      </c>
      <c r="C76" s="56" t="s">
        <v>12</v>
      </c>
      <c r="D76" s="56"/>
      <c r="E76" s="56"/>
      <c r="F76" s="57">
        <f>SUM(F77:F79)</f>
        <v>279</v>
      </c>
      <c r="G76" s="89">
        <f t="shared" ref="G76:I76" si="18">SUM(G77:G79)</f>
        <v>256</v>
      </c>
      <c r="H76" s="57">
        <f t="shared" si="18"/>
        <v>14.05</v>
      </c>
      <c r="I76" s="111">
        <f t="shared" si="18"/>
        <v>9</v>
      </c>
      <c r="J76" s="57"/>
    </row>
    <row r="77" spans="1:10" s="27" customFormat="1" x14ac:dyDescent="0.25">
      <c r="A77" s="167"/>
      <c r="B77" s="170"/>
      <c r="C77" s="29" t="str">
        <f>C69</f>
        <v>дети-инвалиды</v>
      </c>
      <c r="D77" s="29"/>
      <c r="E77" s="5" t="s">
        <v>43</v>
      </c>
      <c r="F77" s="11">
        <v>1</v>
      </c>
      <c r="G77" s="90">
        <v>1</v>
      </c>
      <c r="H77" s="11">
        <v>0</v>
      </c>
      <c r="I77" s="57">
        <f>F77-G77-H77</f>
        <v>0</v>
      </c>
      <c r="J77" s="57"/>
    </row>
    <row r="78" spans="1:10" s="27" customFormat="1" ht="36.75" customHeight="1" x14ac:dyDescent="0.25">
      <c r="A78" s="167"/>
      <c r="B78" s="170"/>
      <c r="C78" s="29" t="str">
        <f t="shared" ref="C78:C79" si="19">C70</f>
        <v>дети-сироты и дети, оставшиеся без попечения родителей</v>
      </c>
      <c r="D78" s="29"/>
      <c r="E78" s="5" t="s">
        <v>43</v>
      </c>
      <c r="F78" s="11">
        <v>1</v>
      </c>
      <c r="G78" s="90">
        <v>1</v>
      </c>
      <c r="H78" s="11">
        <f>F78*5%</f>
        <v>0.05</v>
      </c>
      <c r="I78" s="104">
        <v>0</v>
      </c>
      <c r="J78" s="104"/>
    </row>
    <row r="79" spans="1:10" s="27" customFormat="1" ht="37.5" customHeight="1" x14ac:dyDescent="0.25">
      <c r="A79" s="167"/>
      <c r="B79" s="170"/>
      <c r="C79" s="29" t="str">
        <f t="shared" si="19"/>
        <v>физические лица за исключением льготных категорий</v>
      </c>
      <c r="D79" s="29"/>
      <c r="E79" s="5" t="s">
        <v>43</v>
      </c>
      <c r="F79" s="11">
        <v>277</v>
      </c>
      <c r="G79" s="90">
        <v>254</v>
      </c>
      <c r="H79" s="11">
        <v>14</v>
      </c>
      <c r="I79" s="104">
        <f>F79-G79-H79</f>
        <v>9</v>
      </c>
      <c r="J79" s="104"/>
    </row>
    <row r="80" spans="1:10" s="38" customFormat="1" ht="14.25" customHeight="1" x14ac:dyDescent="0.25">
      <c r="A80" s="167"/>
      <c r="B80" s="170" t="s">
        <v>20</v>
      </c>
      <c r="C80" s="56" t="s">
        <v>12</v>
      </c>
      <c r="D80" s="56"/>
      <c r="E80" s="56"/>
      <c r="F80" s="57">
        <f>SUM(F81:F82)</f>
        <v>279</v>
      </c>
      <c r="G80" s="89">
        <f t="shared" ref="G80" si="20">SUM(G81:G82)</f>
        <v>256</v>
      </c>
      <c r="H80" s="57">
        <f>SUM(H81:H82)</f>
        <v>14</v>
      </c>
      <c r="I80" s="57">
        <f>SUM(I81:I82)</f>
        <v>9</v>
      </c>
      <c r="J80" s="57"/>
    </row>
    <row r="81" spans="1:10" s="27" customFormat="1" ht="14.25" customHeight="1" x14ac:dyDescent="0.25">
      <c r="A81" s="167"/>
      <c r="B81" s="170"/>
      <c r="C81" s="32" t="s">
        <v>21</v>
      </c>
      <c r="D81" s="60" t="s">
        <v>51</v>
      </c>
      <c r="E81" s="5" t="s">
        <v>43</v>
      </c>
      <c r="F81" s="11">
        <v>53</v>
      </c>
      <c r="G81" s="90">
        <v>49</v>
      </c>
      <c r="H81" s="11">
        <v>3</v>
      </c>
      <c r="I81" s="104">
        <f>F81-G81-H81</f>
        <v>1</v>
      </c>
      <c r="J81" s="104"/>
    </row>
    <row r="82" spans="1:10" s="27" customFormat="1" ht="19.5" customHeight="1" thickBot="1" x14ac:dyDescent="0.3">
      <c r="A82" s="168"/>
      <c r="B82" s="171"/>
      <c r="C82" s="33" t="s">
        <v>22</v>
      </c>
      <c r="D82" s="10" t="s">
        <v>51</v>
      </c>
      <c r="E82" s="85" t="s">
        <v>43</v>
      </c>
      <c r="F82" s="16">
        <v>226</v>
      </c>
      <c r="G82" s="91">
        <v>207</v>
      </c>
      <c r="H82" s="16">
        <v>11</v>
      </c>
      <c r="I82" s="105">
        <f>F82-G82-H82</f>
        <v>8</v>
      </c>
      <c r="J82" s="105"/>
    </row>
    <row r="83" spans="1:10" s="27" customFormat="1" ht="13.5" customHeight="1" x14ac:dyDescent="0.25">
      <c r="A83" s="142" t="s">
        <v>65</v>
      </c>
      <c r="B83" s="143"/>
      <c r="C83" s="143"/>
      <c r="D83" s="143"/>
      <c r="E83" s="143"/>
      <c r="F83" s="143"/>
      <c r="G83" s="143"/>
      <c r="H83" s="143"/>
      <c r="I83" s="144"/>
      <c r="J83" s="141"/>
    </row>
    <row r="84" spans="1:10" ht="24.75" customHeight="1" x14ac:dyDescent="0.25">
      <c r="A84" s="164" t="s">
        <v>32</v>
      </c>
      <c r="B84" s="135" t="s">
        <v>25</v>
      </c>
      <c r="C84" s="136"/>
      <c r="D84" s="136"/>
      <c r="E84" s="136"/>
      <c r="F84" s="64">
        <f>SUM(F85:F90)</f>
        <v>247656</v>
      </c>
      <c r="G84" s="92">
        <f>SUM(G85:G90)</f>
        <v>246682</v>
      </c>
      <c r="H84" s="92">
        <f t="shared" ref="H84:I84" si="21">SUM(H85:H90)</f>
        <v>974</v>
      </c>
      <c r="I84" s="92">
        <f t="shared" si="21"/>
        <v>0</v>
      </c>
      <c r="J84" s="6"/>
    </row>
    <row r="85" spans="1:10" s="27" customFormat="1" ht="25.5" customHeight="1" x14ac:dyDescent="0.25">
      <c r="A85" s="164"/>
      <c r="B85" s="29" t="s">
        <v>26</v>
      </c>
      <c r="C85" s="39"/>
      <c r="D85" s="39"/>
      <c r="E85" s="39"/>
      <c r="F85" s="11">
        <v>135300</v>
      </c>
      <c r="G85" s="90">
        <v>133194</v>
      </c>
      <c r="H85" s="11">
        <f t="shared" ref="H85" si="22">F85-G85</f>
        <v>2106</v>
      </c>
      <c r="I85" s="11">
        <v>0</v>
      </c>
      <c r="J85" s="11"/>
    </row>
    <row r="86" spans="1:10" s="27" customFormat="1" ht="25.5" customHeight="1" x14ac:dyDescent="0.25">
      <c r="A86" s="164"/>
      <c r="B86" s="29" t="s">
        <v>27</v>
      </c>
      <c r="C86" s="39"/>
      <c r="D86" s="39"/>
      <c r="E86" s="39"/>
      <c r="F86" s="11">
        <v>5040</v>
      </c>
      <c r="G86" s="90">
        <v>2980</v>
      </c>
      <c r="H86" s="11">
        <v>252</v>
      </c>
      <c r="I86" s="31">
        <f>F86-G86-H86</f>
        <v>1808</v>
      </c>
      <c r="J86" s="11"/>
    </row>
    <row r="87" spans="1:10" s="27" customFormat="1" ht="13.5" customHeight="1" x14ac:dyDescent="0.25">
      <c r="A87" s="164"/>
      <c r="B87" s="29" t="s">
        <v>28</v>
      </c>
      <c r="C87" s="39"/>
      <c r="D87" s="39"/>
      <c r="E87" s="39"/>
      <c r="F87" s="11">
        <v>4320</v>
      </c>
      <c r="G87" s="90">
        <v>3840</v>
      </c>
      <c r="H87" s="11">
        <v>216</v>
      </c>
      <c r="I87" s="31">
        <f>F87-G87-H87</f>
        <v>264</v>
      </c>
      <c r="J87" s="11"/>
    </row>
    <row r="88" spans="1:10" s="27" customFormat="1" ht="26.25" customHeight="1" x14ac:dyDescent="0.25">
      <c r="A88" s="164"/>
      <c r="B88" s="29" t="s">
        <v>29</v>
      </c>
      <c r="C88" s="39"/>
      <c r="D88" s="39"/>
      <c r="E88" s="39"/>
      <c r="F88" s="11">
        <v>2592</v>
      </c>
      <c r="G88" s="90">
        <v>3312</v>
      </c>
      <c r="H88" s="11">
        <f>-130-590</f>
        <v>-720</v>
      </c>
      <c r="I88" s="31">
        <f>F88-G88-H88</f>
        <v>0</v>
      </c>
      <c r="J88" s="11"/>
    </row>
    <row r="89" spans="1:10" s="27" customFormat="1" ht="26.25" customHeight="1" x14ac:dyDescent="0.25">
      <c r="A89" s="164"/>
      <c r="B89" s="29" t="s">
        <v>30</v>
      </c>
      <c r="C89" s="39"/>
      <c r="D89" s="39"/>
      <c r="E89" s="39"/>
      <c r="F89" s="11">
        <v>43920</v>
      </c>
      <c r="G89" s="90">
        <v>38128</v>
      </c>
      <c r="H89" s="11">
        <v>2196</v>
      </c>
      <c r="I89" s="31">
        <f>F89-G89-H89</f>
        <v>3596</v>
      </c>
      <c r="J89" s="11"/>
    </row>
    <row r="90" spans="1:10" s="27" customFormat="1" ht="26.25" customHeight="1" thickBot="1" x14ac:dyDescent="0.3">
      <c r="A90" s="165"/>
      <c r="B90" s="34" t="s">
        <v>31</v>
      </c>
      <c r="C90" s="40"/>
      <c r="D90" s="40"/>
      <c r="E90" s="40"/>
      <c r="F90" s="16">
        <v>56484</v>
      </c>
      <c r="G90" s="91">
        <v>65228</v>
      </c>
      <c r="H90" s="16">
        <f>-2824-252</f>
        <v>-3076</v>
      </c>
      <c r="I90" s="16">
        <f>F90-G90-H90</f>
        <v>-5668</v>
      </c>
      <c r="J90" s="16"/>
    </row>
    <row r="92" spans="1:10" x14ac:dyDescent="0.25">
      <c r="F92" s="59" t="e">
        <f>F76+#REF!+#REF!+F68+F60</f>
        <v>#REF!</v>
      </c>
      <c r="G92" s="74" t="e">
        <f>G76+#REF!+#REF!+G68+G60</f>
        <v>#REF!</v>
      </c>
    </row>
    <row r="93" spans="1:10" x14ac:dyDescent="0.25">
      <c r="F93" s="59" t="e">
        <f>F77+#REF!+#REF!+F69+F61</f>
        <v>#REF!</v>
      </c>
      <c r="G93" s="74" t="e">
        <f>G77+#REF!+#REF!+G69+G61</f>
        <v>#REF!</v>
      </c>
    </row>
    <row r="94" spans="1:10" x14ac:dyDescent="0.25">
      <c r="F94" s="59" t="e">
        <f>F78+#REF!+#REF!+F70+F62</f>
        <v>#REF!</v>
      </c>
      <c r="G94" s="74" t="e">
        <f>G78+#REF!+#REF!+G70+G62</f>
        <v>#REF!</v>
      </c>
    </row>
    <row r="95" spans="1:10" x14ac:dyDescent="0.25">
      <c r="F95" s="59" t="e">
        <f>F79+#REF!+#REF!+F71+F63</f>
        <v>#REF!</v>
      </c>
      <c r="G95" s="74" t="e">
        <f>G79+#REF!+#REF!+G71+G63</f>
        <v>#REF!</v>
      </c>
    </row>
    <row r="96" spans="1:10" x14ac:dyDescent="0.25">
      <c r="F96" s="59" t="e">
        <f>F80+#REF!+#REF!+F72+F64</f>
        <v>#REF!</v>
      </c>
      <c r="G96" s="74" t="e">
        <f>G80+#REF!+#REF!+G72+G64</f>
        <v>#REF!</v>
      </c>
    </row>
    <row r="97" spans="6:7" x14ac:dyDescent="0.25">
      <c r="F97" s="59" t="e">
        <f>F81+#REF!+#REF!+F73+F65</f>
        <v>#REF!</v>
      </c>
      <c r="G97" s="74" t="e">
        <f>G81+#REF!+#REF!+G73+G65</f>
        <v>#REF!</v>
      </c>
    </row>
    <row r="99" spans="6:7" x14ac:dyDescent="0.25">
      <c r="F99" s="59">
        <f>F9+F20+F31+F42</f>
        <v>948</v>
      </c>
      <c r="G99" s="74">
        <f>G9+G20+G31+G42</f>
        <v>945</v>
      </c>
    </row>
    <row r="100" spans="6:7" x14ac:dyDescent="0.25">
      <c r="F100" s="59">
        <f>F12+F23+F34+F46</f>
        <v>290</v>
      </c>
      <c r="G100" s="74">
        <f>G12+G23+G34+G46</f>
        <v>291</v>
      </c>
    </row>
    <row r="101" spans="6:7" x14ac:dyDescent="0.25">
      <c r="F101" s="59">
        <f>F13+F24+F36+F47</f>
        <v>543</v>
      </c>
      <c r="G101" s="74">
        <f>G13+G24+G36+G47</f>
        <v>531</v>
      </c>
    </row>
    <row r="102" spans="6:7" x14ac:dyDescent="0.25">
      <c r="F102" s="59">
        <f>F15+F25+F37+F49</f>
        <v>22</v>
      </c>
      <c r="G102" s="74">
        <f>G15+G25+G37+G49</f>
        <v>17</v>
      </c>
    </row>
    <row r="103" spans="6:7" x14ac:dyDescent="0.25">
      <c r="F103" s="59">
        <f>F18+F29+F40+F51</f>
        <v>2</v>
      </c>
      <c r="G103" s="74">
        <f>G18+G29+G40+G51</f>
        <v>0</v>
      </c>
    </row>
    <row r="104" spans="6:7" x14ac:dyDescent="0.25">
      <c r="F104" s="59">
        <f>F19+F30+F41+F52</f>
        <v>2293</v>
      </c>
      <c r="G104" s="74">
        <f>G19+G30+G41+G52</f>
        <v>2293</v>
      </c>
    </row>
    <row r="105" spans="6:7" x14ac:dyDescent="0.25">
      <c r="F105" s="59"/>
      <c r="G105" s="74"/>
    </row>
  </sheetData>
  <mergeCells count="61">
    <mergeCell ref="A3:I3"/>
    <mergeCell ref="C39:C40"/>
    <mergeCell ref="B42:B45"/>
    <mergeCell ref="C42:C43"/>
    <mergeCell ref="C44:C45"/>
    <mergeCell ref="C4:E5"/>
    <mergeCell ref="B13:B16"/>
    <mergeCell ref="C9:C10"/>
    <mergeCell ref="C13:C14"/>
    <mergeCell ref="B64:B66"/>
    <mergeCell ref="A31:A41"/>
    <mergeCell ref="B28:B29"/>
    <mergeCell ref="C15:C16"/>
    <mergeCell ref="B17:B18"/>
    <mergeCell ref="C17:C18"/>
    <mergeCell ref="C20:C21"/>
    <mergeCell ref="B20:B23"/>
    <mergeCell ref="B50:B51"/>
    <mergeCell ref="C50:C51"/>
    <mergeCell ref="C54:C55"/>
    <mergeCell ref="C56:C57"/>
    <mergeCell ref="B46:B49"/>
    <mergeCell ref="C46:C47"/>
    <mergeCell ref="C48:C49"/>
    <mergeCell ref="B35:B38"/>
    <mergeCell ref="C35:C36"/>
    <mergeCell ref="C37:C38"/>
    <mergeCell ref="B39:B40"/>
    <mergeCell ref="B60:B63"/>
    <mergeCell ref="C28:C29"/>
    <mergeCell ref="F5:I5"/>
    <mergeCell ref="C11:C12"/>
    <mergeCell ref="A84:A90"/>
    <mergeCell ref="A75:A82"/>
    <mergeCell ref="B75:C75"/>
    <mergeCell ref="B76:B79"/>
    <mergeCell ref="B80:B82"/>
    <mergeCell ref="A67:A74"/>
    <mergeCell ref="B67:C67"/>
    <mergeCell ref="B68:B71"/>
    <mergeCell ref="B72:B74"/>
    <mergeCell ref="B24:B27"/>
    <mergeCell ref="B31:B34"/>
    <mergeCell ref="C31:C32"/>
    <mergeCell ref="C33:C34"/>
    <mergeCell ref="A8:I8"/>
    <mergeCell ref="A59:I59"/>
    <mergeCell ref="A83:I83"/>
    <mergeCell ref="F1:I1"/>
    <mergeCell ref="A60:A66"/>
    <mergeCell ref="F4:I4"/>
    <mergeCell ref="B4:B6"/>
    <mergeCell ref="A4:A6"/>
    <mergeCell ref="F2:I2"/>
    <mergeCell ref="A9:A19"/>
    <mergeCell ref="B9:B12"/>
    <mergeCell ref="A42:A52"/>
    <mergeCell ref="A20:A30"/>
    <mergeCell ref="C22:C23"/>
    <mergeCell ref="C24:C25"/>
    <mergeCell ref="C26:C27"/>
  </mergeCells>
  <pageMargins left="0.59055118110236227" right="0.19685039370078741" top="0.19685039370078741" bottom="0" header="0" footer="0"/>
  <pageSetup paperSize="9" scale="74" fitToHeight="2" orientation="portrait" r:id="rId1"/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Q7" sqref="Q7"/>
    </sheetView>
  </sheetViews>
  <sheetFormatPr defaultRowHeight="15" x14ac:dyDescent="0.25"/>
  <cols>
    <col min="1" max="1" width="13" customWidth="1"/>
    <col min="2" max="2" width="21" customWidth="1"/>
    <col min="3" max="3" width="18" customWidth="1"/>
    <col min="9" max="9" width="10" bestFit="1" customWidth="1"/>
    <col min="10" max="10" width="10.42578125" customWidth="1"/>
    <col min="11" max="11" width="10" customWidth="1"/>
    <col min="12" max="12" width="9.5703125" customWidth="1"/>
    <col min="13" max="13" width="11.42578125" style="27" customWidth="1"/>
    <col min="14" max="14" width="10.140625" customWidth="1"/>
    <col min="15" max="15" width="10.5703125" customWidth="1"/>
  </cols>
  <sheetData>
    <row r="1" spans="1:15" x14ac:dyDescent="0.25">
      <c r="A1" s="1"/>
      <c r="B1" s="1"/>
      <c r="C1" s="1"/>
      <c r="L1" s="190" t="s">
        <v>58</v>
      </c>
      <c r="M1" s="190"/>
      <c r="N1" s="190"/>
      <c r="O1" s="190"/>
    </row>
    <row r="2" spans="1:15" ht="43.5" customHeight="1" x14ac:dyDescent="0.25">
      <c r="A2" s="1"/>
      <c r="B2" s="1"/>
      <c r="C2" s="1"/>
      <c r="L2" s="191" t="s">
        <v>67</v>
      </c>
      <c r="M2" s="191"/>
      <c r="N2" s="191"/>
      <c r="O2" s="191"/>
    </row>
    <row r="3" spans="1:15" ht="33.75" customHeight="1" x14ac:dyDescent="0.25">
      <c r="A3" s="184" t="s">
        <v>55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28.5" customHeight="1" x14ac:dyDescent="0.25">
      <c r="A4" s="150" t="s">
        <v>0</v>
      </c>
      <c r="B4" s="150" t="s">
        <v>1</v>
      </c>
      <c r="C4" s="196" t="s">
        <v>2</v>
      </c>
      <c r="D4" s="149" t="s">
        <v>39</v>
      </c>
      <c r="E4" s="149"/>
      <c r="F4" s="149"/>
      <c r="G4" s="149"/>
      <c r="H4" s="149" t="s">
        <v>56</v>
      </c>
      <c r="I4" s="149"/>
      <c r="J4" s="149"/>
      <c r="K4" s="149"/>
      <c r="L4" s="149"/>
      <c r="M4" s="149"/>
      <c r="N4" s="149"/>
      <c r="O4" s="149"/>
    </row>
    <row r="5" spans="1:15" ht="16.5" customHeight="1" x14ac:dyDescent="0.25">
      <c r="A5" s="150"/>
      <c r="B5" s="150"/>
      <c r="C5" s="197"/>
      <c r="D5" s="203" t="s">
        <v>16</v>
      </c>
      <c r="E5" s="204"/>
      <c r="F5" s="204"/>
      <c r="G5" s="205"/>
      <c r="H5" s="192" t="s">
        <v>52</v>
      </c>
      <c r="I5" s="192" t="s">
        <v>34</v>
      </c>
      <c r="J5" s="192"/>
      <c r="K5" s="192"/>
      <c r="L5" s="192"/>
      <c r="M5" s="193" t="s">
        <v>62</v>
      </c>
      <c r="N5" s="186" t="s">
        <v>57</v>
      </c>
      <c r="O5" s="209"/>
    </row>
    <row r="6" spans="1:15" ht="19.5" customHeight="1" x14ac:dyDescent="0.25">
      <c r="A6" s="150"/>
      <c r="B6" s="150"/>
      <c r="C6" s="197"/>
      <c r="D6" s="206"/>
      <c r="E6" s="207"/>
      <c r="F6" s="207"/>
      <c r="G6" s="208"/>
      <c r="H6" s="192"/>
      <c r="I6" s="201" t="s">
        <v>35</v>
      </c>
      <c r="J6" s="201" t="s">
        <v>36</v>
      </c>
      <c r="K6" s="199" t="s">
        <v>54</v>
      </c>
      <c r="L6" s="200"/>
      <c r="M6" s="194"/>
      <c r="N6" s="188"/>
      <c r="O6" s="210"/>
    </row>
    <row r="7" spans="1:15" ht="95.25" customHeight="1" x14ac:dyDescent="0.25">
      <c r="A7" s="150"/>
      <c r="B7" s="150"/>
      <c r="C7" s="198"/>
      <c r="D7" s="116" t="s">
        <v>40</v>
      </c>
      <c r="E7" s="116" t="s">
        <v>41</v>
      </c>
      <c r="F7" s="117" t="s">
        <v>42</v>
      </c>
      <c r="G7" s="117" t="s">
        <v>33</v>
      </c>
      <c r="H7" s="192"/>
      <c r="I7" s="202"/>
      <c r="J7" s="202"/>
      <c r="K7" s="117" t="s">
        <v>59</v>
      </c>
      <c r="L7" s="117" t="s">
        <v>60</v>
      </c>
      <c r="M7" s="195"/>
      <c r="N7" s="29" t="s">
        <v>38</v>
      </c>
      <c r="O7" s="3" t="s">
        <v>37</v>
      </c>
    </row>
    <row r="8" spans="1:15" ht="15.75" thickBot="1" x14ac:dyDescent="0.3">
      <c r="A8" s="4">
        <v>1</v>
      </c>
      <c r="B8" s="4">
        <f>A8+1</f>
        <v>2</v>
      </c>
      <c r="C8" s="4">
        <f t="shared" ref="C8" si="0">B8+1</f>
        <v>3</v>
      </c>
      <c r="D8" s="4">
        <f>C8+1</f>
        <v>4</v>
      </c>
      <c r="E8" s="4">
        <f t="shared" ref="E8" si="1">D8+1</f>
        <v>5</v>
      </c>
      <c r="F8" s="4">
        <f t="shared" ref="F8" si="2">E8+1</f>
        <v>6</v>
      </c>
      <c r="G8" s="4">
        <f t="shared" ref="G8" si="3">F8+1</f>
        <v>7</v>
      </c>
      <c r="H8" s="4">
        <f t="shared" ref="H8" si="4">G8+1</f>
        <v>8</v>
      </c>
      <c r="I8" s="4">
        <f t="shared" ref="I8" si="5">H8+1</f>
        <v>9</v>
      </c>
      <c r="J8" s="4">
        <f t="shared" ref="J8" si="6">I8+1</f>
        <v>10</v>
      </c>
      <c r="K8" s="4">
        <f t="shared" ref="K8" si="7">J8+1</f>
        <v>11</v>
      </c>
      <c r="L8" s="4">
        <f t="shared" ref="L8" si="8">K8+1</f>
        <v>12</v>
      </c>
      <c r="M8" s="30">
        <f t="shared" ref="M8" si="9">L8+1</f>
        <v>13</v>
      </c>
      <c r="N8" s="4">
        <f t="shared" ref="N8" si="10">M8+1</f>
        <v>14</v>
      </c>
      <c r="O8" s="4">
        <f t="shared" ref="O8" si="11">N8+1</f>
        <v>15</v>
      </c>
    </row>
    <row r="9" spans="1:15" ht="12.75" customHeight="1" x14ac:dyDescent="0.25">
      <c r="A9" s="166" t="s">
        <v>24</v>
      </c>
      <c r="B9" s="169" t="s">
        <v>18</v>
      </c>
      <c r="C9" s="169"/>
      <c r="D9" s="63"/>
      <c r="E9" s="98"/>
      <c r="F9" s="63"/>
      <c r="G9" s="63"/>
      <c r="H9" s="99"/>
      <c r="I9" s="99"/>
      <c r="J9" s="99"/>
      <c r="K9" s="63"/>
      <c r="L9" s="100"/>
      <c r="M9" s="63">
        <f>SUM(N9:O9)</f>
        <v>1000273.77</v>
      </c>
      <c r="N9" s="101">
        <f>N10+N14</f>
        <v>390374.54726894648</v>
      </c>
      <c r="O9" s="101">
        <f>O10+O14</f>
        <v>609899.2227310536</v>
      </c>
    </row>
    <row r="10" spans="1:15" ht="12.75" customHeight="1" x14ac:dyDescent="0.25">
      <c r="A10" s="167"/>
      <c r="B10" s="170" t="s">
        <v>19</v>
      </c>
      <c r="C10" s="56" t="s">
        <v>12</v>
      </c>
      <c r="D10" s="57">
        <f>SUM(D11:D13)</f>
        <v>279</v>
      </c>
      <c r="E10" s="89">
        <f t="shared" ref="E10:G10" si="12">SUM(E11:E13)</f>
        <v>256</v>
      </c>
      <c r="F10" s="57">
        <f t="shared" si="12"/>
        <v>14.05</v>
      </c>
      <c r="G10" s="57">
        <f t="shared" si="12"/>
        <v>9</v>
      </c>
      <c r="H10" s="36"/>
      <c r="I10" s="36"/>
      <c r="J10" s="36"/>
      <c r="K10" s="15"/>
      <c r="L10" s="37"/>
      <c r="M10" s="15">
        <f>SUM(N10:O10)</f>
        <v>295105.77</v>
      </c>
      <c r="N10" s="102">
        <f>SUM(N11:N13)</f>
        <v>0</v>
      </c>
      <c r="O10" s="102">
        <f>SUM(O11:O13)</f>
        <v>295105.77</v>
      </c>
    </row>
    <row r="11" spans="1:15" ht="12.75" customHeight="1" x14ac:dyDescent="0.25">
      <c r="A11" s="167"/>
      <c r="B11" s="170"/>
      <c r="C11" s="29" t="str">
        <f>'выполнение объема услуг'!C77</f>
        <v>дети-инвалиды</v>
      </c>
      <c r="D11" s="11">
        <v>1</v>
      </c>
      <c r="E11" s="90">
        <v>1</v>
      </c>
      <c r="F11" s="11">
        <v>0</v>
      </c>
      <c r="G11" s="57">
        <f>D11-E11-F11</f>
        <v>0</v>
      </c>
      <c r="H11" s="32">
        <v>68172.14</v>
      </c>
      <c r="I11" s="12">
        <v>0</v>
      </c>
      <c r="J11" s="25">
        <f>SUM(K11:L11)</f>
        <v>68172.14</v>
      </c>
      <c r="K11" s="12">
        <v>0</v>
      </c>
      <c r="L11" s="12">
        <f>H11-I11-K11</f>
        <v>68172.14</v>
      </c>
      <c r="M11" s="12">
        <f t="shared" ref="M11:M16" si="13">J11*G11</f>
        <v>0</v>
      </c>
      <c r="N11" s="28"/>
      <c r="O11" s="103">
        <v>0</v>
      </c>
    </row>
    <row r="12" spans="1:15" ht="36.75" customHeight="1" x14ac:dyDescent="0.25">
      <c r="A12" s="167"/>
      <c r="B12" s="170"/>
      <c r="C12" s="29" t="str">
        <f>'выполнение объема услуг'!C78</f>
        <v>дети-сироты и дети, оставшиеся без попечения родителей</v>
      </c>
      <c r="D12" s="11">
        <v>1</v>
      </c>
      <c r="E12" s="90">
        <v>1</v>
      </c>
      <c r="F12" s="11">
        <f>D12*5%</f>
        <v>0.05</v>
      </c>
      <c r="G12" s="104">
        <v>0</v>
      </c>
      <c r="H12" s="32">
        <v>55493.53</v>
      </c>
      <c r="I12" s="12">
        <v>0</v>
      </c>
      <c r="J12" s="25">
        <f t="shared" ref="J12:J16" si="14">SUM(K12:L12)</f>
        <v>55493.53</v>
      </c>
      <c r="K12" s="12">
        <v>0</v>
      </c>
      <c r="L12" s="12">
        <f>H12-I12-K12</f>
        <v>55493.53</v>
      </c>
      <c r="M12" s="12">
        <f t="shared" si="13"/>
        <v>0</v>
      </c>
      <c r="N12" s="28"/>
      <c r="O12" s="103">
        <v>0</v>
      </c>
    </row>
    <row r="13" spans="1:15" ht="36.75" customHeight="1" x14ac:dyDescent="0.25">
      <c r="A13" s="167"/>
      <c r="B13" s="170"/>
      <c r="C13" s="29" t="str">
        <f>'выполнение объема услуг'!C79</f>
        <v>физические лица за исключением льготных категорий</v>
      </c>
      <c r="D13" s="11">
        <v>277</v>
      </c>
      <c r="E13" s="90">
        <v>254</v>
      </c>
      <c r="F13" s="11">
        <v>14</v>
      </c>
      <c r="G13" s="104">
        <f>D13-E13-F13</f>
        <v>9</v>
      </c>
      <c r="H13" s="32">
        <f>H12</f>
        <v>55493.53</v>
      </c>
      <c r="I13" s="25">
        <f>172*132</f>
        <v>22704</v>
      </c>
      <c r="J13" s="25">
        <f>SUM(K13:L13)</f>
        <v>32789.53</v>
      </c>
      <c r="K13" s="12">
        <v>0</v>
      </c>
      <c r="L13" s="12">
        <f>H13-I13-K13</f>
        <v>32789.53</v>
      </c>
      <c r="M13" s="12">
        <f>J13*G13</f>
        <v>295105.77</v>
      </c>
      <c r="N13" s="28"/>
      <c r="O13" s="103">
        <f>G13*L13</f>
        <v>295105.77</v>
      </c>
    </row>
    <row r="14" spans="1:15" ht="12.75" customHeight="1" x14ac:dyDescent="0.25">
      <c r="A14" s="167"/>
      <c r="B14" s="170" t="s">
        <v>20</v>
      </c>
      <c r="C14" s="56" t="s">
        <v>12</v>
      </c>
      <c r="D14" s="57">
        <f>SUM(D15:D16)</f>
        <v>279</v>
      </c>
      <c r="E14" s="89">
        <f t="shared" ref="E14" si="15">SUM(E15:E16)</f>
        <v>256</v>
      </c>
      <c r="F14" s="57">
        <f>SUM(F15:F16)</f>
        <v>14</v>
      </c>
      <c r="G14" s="57">
        <f>SUM(G15:G16)</f>
        <v>9</v>
      </c>
      <c r="H14" s="56"/>
      <c r="I14" s="36"/>
      <c r="J14" s="36">
        <f t="shared" si="14"/>
        <v>0</v>
      </c>
      <c r="K14" s="15"/>
      <c r="L14" s="15"/>
      <c r="M14" s="15">
        <f>SUM(N14:O14)</f>
        <v>705168</v>
      </c>
      <c r="N14" s="56">
        <f>SUM(N15:N16)</f>
        <v>390374.54726894648</v>
      </c>
      <c r="O14" s="102">
        <f>SUM(O15:O16)</f>
        <v>314793.45273105352</v>
      </c>
    </row>
    <row r="15" spans="1:15" ht="22.5" customHeight="1" x14ac:dyDescent="0.25">
      <c r="A15" s="167"/>
      <c r="B15" s="170"/>
      <c r="C15" s="32" t="s">
        <v>21</v>
      </c>
      <c r="D15" s="11">
        <v>53</v>
      </c>
      <c r="E15" s="90">
        <v>49</v>
      </c>
      <c r="F15" s="11">
        <v>3</v>
      </c>
      <c r="G15" s="104">
        <f>D15-E15-F15</f>
        <v>1</v>
      </c>
      <c r="H15" s="114">
        <v>78352</v>
      </c>
      <c r="I15" s="12">
        <v>0</v>
      </c>
      <c r="J15" s="25">
        <f t="shared" si="14"/>
        <v>78352</v>
      </c>
      <c r="K15" s="12">
        <f>12101611.53/21860209.02*H15</f>
        <v>43374.949696549607</v>
      </c>
      <c r="L15" s="12">
        <f t="shared" ref="L15:L23" si="16">H15-I15-K15</f>
        <v>34977.050303450393</v>
      </c>
      <c r="M15" s="12">
        <f t="shared" si="13"/>
        <v>78352</v>
      </c>
      <c r="N15" s="28">
        <f>K15*G15</f>
        <v>43374.949696549607</v>
      </c>
      <c r="O15" s="103">
        <f>L15*G15</f>
        <v>34977.050303450393</v>
      </c>
    </row>
    <row r="16" spans="1:15" ht="17.25" customHeight="1" thickBot="1" x14ac:dyDescent="0.3">
      <c r="A16" s="168"/>
      <c r="B16" s="171"/>
      <c r="C16" s="33" t="s">
        <v>22</v>
      </c>
      <c r="D16" s="16">
        <v>226</v>
      </c>
      <c r="E16" s="91">
        <v>207</v>
      </c>
      <c r="F16" s="16">
        <v>11</v>
      </c>
      <c r="G16" s="105">
        <f>D16-E16-F16</f>
        <v>8</v>
      </c>
      <c r="H16" s="115">
        <v>78352</v>
      </c>
      <c r="I16" s="35">
        <v>0</v>
      </c>
      <c r="J16" s="44">
        <f t="shared" si="14"/>
        <v>78352</v>
      </c>
      <c r="K16" s="35">
        <f>K15</f>
        <v>43374.949696549607</v>
      </c>
      <c r="L16" s="35">
        <f t="shared" si="16"/>
        <v>34977.050303450393</v>
      </c>
      <c r="M16" s="35">
        <f t="shared" si="13"/>
        <v>626816</v>
      </c>
      <c r="N16" s="121">
        <f>K16*G16</f>
        <v>346999.59757239686</v>
      </c>
      <c r="O16" s="122">
        <f>L16*G16</f>
        <v>279816.40242760314</v>
      </c>
    </row>
    <row r="17" spans="1:15" ht="38.25" hidden="1" customHeight="1" x14ac:dyDescent="0.25">
      <c r="A17" s="164" t="s">
        <v>32</v>
      </c>
      <c r="B17" s="61" t="s">
        <v>25</v>
      </c>
      <c r="C17" s="7"/>
      <c r="D17" s="62">
        <f>SUM(D18:D23)</f>
        <v>247656</v>
      </c>
      <c r="E17" s="118">
        <f>SUM(E18:E23)</f>
        <v>246682</v>
      </c>
      <c r="F17" s="118">
        <f t="shared" ref="F17:G17" si="17">SUM(F18:F23)</f>
        <v>974</v>
      </c>
      <c r="G17" s="118">
        <f t="shared" si="17"/>
        <v>0</v>
      </c>
      <c r="H17" s="14"/>
      <c r="I17" s="43"/>
      <c r="J17" s="43"/>
      <c r="K17" s="6"/>
      <c r="L17" s="6">
        <f t="shared" si="16"/>
        <v>0</v>
      </c>
      <c r="M17" s="118">
        <f t="shared" ref="M17" si="18">SUM(M18:M23)</f>
        <v>-28423.959999999963</v>
      </c>
      <c r="N17" s="41"/>
      <c r="O17" s="118">
        <f t="shared" ref="O17" si="19">SUM(O18:O23)</f>
        <v>-28423.959999999963</v>
      </c>
    </row>
    <row r="18" spans="1:15" ht="38.25" hidden="1" customHeight="1" x14ac:dyDescent="0.25">
      <c r="A18" s="164"/>
      <c r="B18" s="29" t="s">
        <v>26</v>
      </c>
      <c r="C18" s="39"/>
      <c r="D18" s="11">
        <v>135300</v>
      </c>
      <c r="E18" s="90">
        <v>133194</v>
      </c>
      <c r="F18" s="11">
        <f t="shared" ref="F18" si="20">D18-E18</f>
        <v>2106</v>
      </c>
      <c r="G18" s="11">
        <v>0</v>
      </c>
      <c r="H18" s="119">
        <v>84.86</v>
      </c>
      <c r="I18" s="12">
        <v>0</v>
      </c>
      <c r="J18" s="25">
        <f t="shared" ref="J18:J23" si="21">SUM(K18:L18)</f>
        <v>84.86</v>
      </c>
      <c r="K18" s="12">
        <v>0</v>
      </c>
      <c r="L18" s="12">
        <f t="shared" si="16"/>
        <v>84.86</v>
      </c>
      <c r="M18" s="12">
        <f t="shared" ref="M18:M22" si="22">J18*G18</f>
        <v>0</v>
      </c>
      <c r="N18" s="26"/>
      <c r="O18" s="12">
        <f t="shared" ref="O18:O23" si="23">G18*L18</f>
        <v>0</v>
      </c>
    </row>
    <row r="19" spans="1:15" ht="38.25" hidden="1" customHeight="1" x14ac:dyDescent="0.25">
      <c r="A19" s="164"/>
      <c r="B19" s="29" t="s">
        <v>27</v>
      </c>
      <c r="C19" s="39"/>
      <c r="D19" s="11">
        <v>5040</v>
      </c>
      <c r="E19" s="90">
        <v>2980</v>
      </c>
      <c r="F19" s="11">
        <v>252</v>
      </c>
      <c r="G19" s="31">
        <f>D19-E19-F19</f>
        <v>1808</v>
      </c>
      <c r="H19" s="119">
        <v>108.18</v>
      </c>
      <c r="I19" s="12">
        <v>0</v>
      </c>
      <c r="J19" s="25">
        <f t="shared" si="21"/>
        <v>108.18</v>
      </c>
      <c r="K19" s="12">
        <v>0</v>
      </c>
      <c r="L19" s="12">
        <f t="shared" si="16"/>
        <v>108.18</v>
      </c>
      <c r="M19" s="12">
        <f t="shared" si="22"/>
        <v>195589.44</v>
      </c>
      <c r="N19" s="26"/>
      <c r="O19" s="12">
        <f t="shared" si="23"/>
        <v>195589.44</v>
      </c>
    </row>
    <row r="20" spans="1:15" ht="25.5" hidden="1" customHeight="1" x14ac:dyDescent="0.25">
      <c r="A20" s="164"/>
      <c r="B20" s="29" t="s">
        <v>28</v>
      </c>
      <c r="C20" s="39"/>
      <c r="D20" s="11">
        <v>4320</v>
      </c>
      <c r="E20" s="90">
        <v>3840</v>
      </c>
      <c r="F20" s="11">
        <v>216</v>
      </c>
      <c r="G20" s="31">
        <f>D20-E20-F20</f>
        <v>264</v>
      </c>
      <c r="H20" s="119">
        <v>104.39</v>
      </c>
      <c r="I20" s="12">
        <v>0</v>
      </c>
      <c r="J20" s="25">
        <f t="shared" si="21"/>
        <v>104.39</v>
      </c>
      <c r="K20" s="12">
        <v>0</v>
      </c>
      <c r="L20" s="12">
        <f t="shared" si="16"/>
        <v>104.39</v>
      </c>
      <c r="M20" s="12">
        <f t="shared" si="22"/>
        <v>27558.959999999999</v>
      </c>
      <c r="N20" s="26"/>
      <c r="O20" s="12">
        <f t="shared" si="23"/>
        <v>27558.959999999999</v>
      </c>
    </row>
    <row r="21" spans="1:15" ht="38.25" hidden="1" customHeight="1" x14ac:dyDescent="0.25">
      <c r="A21" s="164"/>
      <c r="B21" s="29" t="s">
        <v>29</v>
      </c>
      <c r="C21" s="39"/>
      <c r="D21" s="11">
        <v>2592</v>
      </c>
      <c r="E21" s="90">
        <v>3312</v>
      </c>
      <c r="F21" s="11">
        <f>-130-590</f>
        <v>-720</v>
      </c>
      <c r="G21" s="31">
        <f>D21-E21-F21</f>
        <v>0</v>
      </c>
      <c r="H21" s="119">
        <v>118.07</v>
      </c>
      <c r="I21" s="12">
        <v>0</v>
      </c>
      <c r="J21" s="25">
        <f t="shared" si="21"/>
        <v>118.07</v>
      </c>
      <c r="K21" s="12">
        <v>0</v>
      </c>
      <c r="L21" s="12">
        <f t="shared" si="16"/>
        <v>118.07</v>
      </c>
      <c r="M21" s="12">
        <f t="shared" si="22"/>
        <v>0</v>
      </c>
      <c r="N21" s="26"/>
      <c r="O21" s="12">
        <f t="shared" si="23"/>
        <v>0</v>
      </c>
    </row>
    <row r="22" spans="1:15" ht="24.75" hidden="1" customHeight="1" x14ac:dyDescent="0.25">
      <c r="A22" s="164"/>
      <c r="B22" s="29" t="s">
        <v>30</v>
      </c>
      <c r="C22" s="39"/>
      <c r="D22" s="11">
        <v>43920</v>
      </c>
      <c r="E22" s="90">
        <v>38128</v>
      </c>
      <c r="F22" s="11">
        <v>2196</v>
      </c>
      <c r="G22" s="31">
        <f>D22-E22-F22</f>
        <v>3596</v>
      </c>
      <c r="H22" s="119">
        <v>97.37</v>
      </c>
      <c r="I22" s="12">
        <v>0</v>
      </c>
      <c r="J22" s="25">
        <f t="shared" si="21"/>
        <v>97.37</v>
      </c>
      <c r="K22" s="12">
        <v>0</v>
      </c>
      <c r="L22" s="12">
        <f t="shared" si="16"/>
        <v>97.37</v>
      </c>
      <c r="M22" s="12">
        <f t="shared" si="22"/>
        <v>350142.52</v>
      </c>
      <c r="N22" s="26"/>
      <c r="O22" s="12">
        <f t="shared" si="23"/>
        <v>350142.52</v>
      </c>
    </row>
    <row r="23" spans="1:15" ht="29.25" hidden="1" customHeight="1" thickBot="1" x14ac:dyDescent="0.3">
      <c r="A23" s="165"/>
      <c r="B23" s="34" t="s">
        <v>31</v>
      </c>
      <c r="C23" s="40"/>
      <c r="D23" s="16">
        <v>56484</v>
      </c>
      <c r="E23" s="91">
        <v>65228</v>
      </c>
      <c r="F23" s="16">
        <f>-2824-252</f>
        <v>-3076</v>
      </c>
      <c r="G23" s="16">
        <f>D23-E23-F23</f>
        <v>-5668</v>
      </c>
      <c r="H23" s="120">
        <v>106.16</v>
      </c>
      <c r="I23" s="35">
        <v>0</v>
      </c>
      <c r="J23" s="44">
        <f t="shared" si="21"/>
        <v>106.16</v>
      </c>
      <c r="K23" s="35">
        <v>0</v>
      </c>
      <c r="L23" s="35">
        <f t="shared" si="16"/>
        <v>106.16</v>
      </c>
      <c r="M23" s="35">
        <f>J23*G23</f>
        <v>-601714.88</v>
      </c>
      <c r="N23" s="42"/>
      <c r="O23" s="35">
        <f t="shared" si="23"/>
        <v>-601714.88</v>
      </c>
    </row>
    <row r="24" spans="1:15" ht="17.25" customHeight="1" x14ac:dyDescent="0.25"/>
  </sheetData>
  <mergeCells count="21">
    <mergeCell ref="N5:O6"/>
    <mergeCell ref="A9:A16"/>
    <mergeCell ref="B9:C9"/>
    <mergeCell ref="B10:B13"/>
    <mergeCell ref="B14:B16"/>
    <mergeCell ref="A17:A23"/>
    <mergeCell ref="L1:O1"/>
    <mergeCell ref="L2:O2"/>
    <mergeCell ref="A3:O3"/>
    <mergeCell ref="A4:A7"/>
    <mergeCell ref="B4:B7"/>
    <mergeCell ref="D4:G4"/>
    <mergeCell ref="H4:O4"/>
    <mergeCell ref="H5:H7"/>
    <mergeCell ref="I5:L5"/>
    <mergeCell ref="M5:M7"/>
    <mergeCell ref="C4:C7"/>
    <mergeCell ref="K6:L6"/>
    <mergeCell ref="J6:J7"/>
    <mergeCell ref="I6:I7"/>
    <mergeCell ref="D5:G6"/>
  </mergeCells>
  <pageMargins left="0.19685039370078741" right="0.19685039370078741" top="0.6692913385826772" bottom="0.39370078740157483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выполнение объема услуг</vt:lpstr>
      <vt:lpstr>расчет ум субс</vt:lpstr>
      <vt:lpstr>'выполнение объема услуг'!Область_печати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2019-03-22T06:50:46Z</dcterms:modified>
</cp:coreProperties>
</file>