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0505" windowHeight="12120" activeTab="0"/>
  </bookViews>
  <sheets>
    <sheet name="приложение 3" sheetId="1" r:id="rId1"/>
  </sheets>
  <definedNames>
    <definedName name="_xlnm.Print_Area" localSheetId="0">'приложение 3'!$A$1:$S$343</definedName>
  </definedNames>
  <calcPr fullCalcOnLoad="1" refMode="R1C1"/>
</workbook>
</file>

<file path=xl/sharedStrings.xml><?xml version="1.0" encoding="utf-8"?>
<sst xmlns="http://schemas.openxmlformats.org/spreadsheetml/2006/main" count="788" uniqueCount="215">
  <si>
    <t>всего</t>
  </si>
  <si>
    <t>№ п/п</t>
  </si>
  <si>
    <t>Всего</t>
  </si>
  <si>
    <t>Источники финансирования</t>
  </si>
  <si>
    <t xml:space="preserve">Оценка расходов (тыс. рублей), </t>
  </si>
  <si>
    <t>2015 год</t>
  </si>
  <si>
    <t>2016 год</t>
  </si>
  <si>
    <t>2017 год</t>
  </si>
  <si>
    <t>2018 год</t>
  </si>
  <si>
    <t>2019 год</t>
  </si>
  <si>
    <t>2020 год</t>
  </si>
  <si>
    <t>федеральный бюджет</t>
  </si>
  <si>
    <t>районный  бюджет</t>
  </si>
  <si>
    <t>юридические лица</t>
  </si>
  <si>
    <t>бюджет поселений</t>
  </si>
  <si>
    <t>1.</t>
  </si>
  <si>
    <t>1.1.</t>
  </si>
  <si>
    <t>Основное мероприятие 1.1. "Обеспечение реализации программ дошкольного образования"</t>
  </si>
  <si>
    <t>Подпрограмма 1 "Развитие общего и дополнительного образования в Бурейском районе"</t>
  </si>
  <si>
    <t>1.1.1.</t>
  </si>
  <si>
    <t>областной бюджет</t>
  </si>
  <si>
    <t>1.1.2.</t>
  </si>
  <si>
    <t>1.1.3.</t>
  </si>
  <si>
    <t>Мероприятие "Предоставление социальной поддержки за содержание детей в муниципальных дошкольных образовательных учреждениях"</t>
  </si>
  <si>
    <t>1.1.4.</t>
  </si>
  <si>
    <t>1.2.</t>
  </si>
  <si>
    <t>Основное мероприятие 1.2. "Обеспечение реализации программ общего образования"</t>
  </si>
  <si>
    <t>1.2.1.</t>
  </si>
  <si>
    <t>1.2.2.</t>
  </si>
  <si>
    <t>1.3.</t>
  </si>
  <si>
    <t>1.3.1.</t>
  </si>
  <si>
    <t>Основное мероприятие 1.3. "Обеспечение реализации программ дополнительного образования"</t>
  </si>
  <si>
    <t>1.4.</t>
  </si>
  <si>
    <t>Основное мероприятие 1.4. "Содействие развитию дошкольного, общего и дополнительного образования"</t>
  </si>
  <si>
    <t>1.4.1.</t>
  </si>
  <si>
    <t>Мероприятие "Модернизация муниципальной системы образования"</t>
  </si>
  <si>
    <t>1.5.</t>
  </si>
  <si>
    <t>1.5.1.</t>
  </si>
  <si>
    <t>1.5.2.</t>
  </si>
  <si>
    <t>Основное мероприятие 1.5. "Развитие, поддержка и совершенствование системы кадрового потенциала педагогического корпуса"</t>
  </si>
  <si>
    <t>Мероприятие "Выплаты единовременного социального пособия работникам муниципальных  учреждений"</t>
  </si>
  <si>
    <t>Мероприятие "Развитие кадрового потенциала системы образования (в том числе поощрения лучших работников)"</t>
  </si>
  <si>
    <t>1.5.3.</t>
  </si>
  <si>
    <t>2.</t>
  </si>
  <si>
    <t>Подпрограмма 2 "Развитие системы защиты прав детей"</t>
  </si>
  <si>
    <t>Основное мероприятие 2.1. "Обеспечение поддержки детей с особыми потребностями"</t>
  </si>
  <si>
    <t>2.1.</t>
  </si>
  <si>
    <t>2.1.1.</t>
  </si>
  <si>
    <t>Мероприятие "Выявление и поддержка одаренных детей"</t>
  </si>
  <si>
    <t>2.2.</t>
  </si>
  <si>
    <t>2.2.1.</t>
  </si>
  <si>
    <t>2.2.2.</t>
  </si>
  <si>
    <t>Основное мероприятие 2.2. "Организация и обеспечение проведения оздоровительной кампании детей"</t>
  </si>
  <si>
    <t>Мероприятие "Мероприятия по проведению оздоровительной кампании детей"</t>
  </si>
  <si>
    <t>2.3.</t>
  </si>
  <si>
    <t>2.3.1.</t>
  </si>
  <si>
    <t>Основное мероприятие 2.3. "Реализация комплекса мер по созданию условий успешной социализации и эффективной самореализации молодежи"</t>
  </si>
  <si>
    <t>Мероприятие "Реализация мероприятий по военно-патриотическому и трудовому воспитанию молодежи"</t>
  </si>
  <si>
    <t>2.4.</t>
  </si>
  <si>
    <t>2.4.1.</t>
  </si>
  <si>
    <t>Мероприятие "Обеспечение учащихся из малообеспеченных семей льготой на бесплатное питание учащихся"</t>
  </si>
  <si>
    <t>2.4.2.</t>
  </si>
  <si>
    <t>Мероприятие "Обеспечение учащихся из малообеспеченных семей льготой на бесплатный проезд в общественном транспорте"</t>
  </si>
  <si>
    <t>2.4.3.</t>
  </si>
  <si>
    <t>3.</t>
  </si>
  <si>
    <t>3.1.</t>
  </si>
  <si>
    <t>3.1.1.</t>
  </si>
  <si>
    <t>3.1.2.</t>
  </si>
  <si>
    <t>3.2.</t>
  </si>
  <si>
    <t>Основное мероприятие 3.2. "Обеспечение деятельности оказания услуг муниципальных учреждений"</t>
  </si>
  <si>
    <t>2.4.4.</t>
  </si>
  <si>
    <t>3.2.1.</t>
  </si>
  <si>
    <t>Основное мероприятие 3.1. "Обеспечение функций органов местного самоуправления"</t>
  </si>
  <si>
    <t>2.4.5.</t>
  </si>
  <si>
    <t>1.4.2.</t>
  </si>
  <si>
    <t>3.1.3.</t>
  </si>
  <si>
    <t>Мероприятие "Обеспечение функционирования должностей, не отнесенных к должностям муниципальной службы"</t>
  </si>
  <si>
    <t>3.1.4.</t>
  </si>
  <si>
    <t>Мероприятие "Выплата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образования"</t>
  </si>
  <si>
    <t>Основное мероприятие 2.4. "Реализация прав и гарантий на государственную поддержку отдельных категорий граждан"</t>
  </si>
  <si>
    <t>Наименование муниципальной программы, подпрограммы, основного мероприятия, мероприятия</t>
  </si>
  <si>
    <t>Мероприятие "Создание в общеобразовательных организациях, расположенных в сельской местности, условий для занятий физической культурой и спортом"</t>
  </si>
  <si>
    <t>2.4.6.</t>
  </si>
  <si>
    <t>Ресурсное обеспечение и прогнозная (справочная) оценка расходов на реализацию мероприятий муниципальной программы района  из различных источников финансирования</t>
  </si>
  <si>
    <t>2.4.7.</t>
  </si>
  <si>
    <t>Мероприятие "Организация деятельности комиссий по делам несовершеннолетних и защите их прав"</t>
  </si>
  <si>
    <t>Мероприятие "Обеспечение деятельности (оказание услуг) муниципальных учреждений, за счет оказания платных услуг (работ)"</t>
  </si>
  <si>
    <t>1.4.3.</t>
  </si>
  <si>
    <t>Мероприятие "Мероприятия по проведению оздоровительной кампании детей за счет доходов от оказания платных услуг и компенсации затрат государства"</t>
  </si>
  <si>
    <t>2.2.3.</t>
  </si>
  <si>
    <t>2.2.4.</t>
  </si>
  <si>
    <t>Мероприятие "Обеспечение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 за счет средств районного бюджета"</t>
  </si>
  <si>
    <t>2.4.8.</t>
  </si>
  <si>
    <t>1.1.5.</t>
  </si>
  <si>
    <t>Мероприятие "Создание в общеобразовательных организациях, расположенных в сельской местности, условий для занятий физической культурой и спортом  за счет средств районного бюджета"</t>
  </si>
  <si>
    <t>Мероприятие "Частичная оплата стоимости путевок для детей работающих граждан в организации отдыха и оздоровления детей в каникулярное время за счет средств районного бюджета"</t>
  </si>
  <si>
    <t>Мероприятие "Обеспечение бесплатным двухразовым питанием детей с ограниченными возможностями здоровья обучающихся в муниципальных общеобразовательных организациях"</t>
  </si>
  <si>
    <t>Мероприятие "Частичная оплата стоимости путевок для детей работающих граждан в организациях отдыха и оздоровления детей в каникулярное время"</t>
  </si>
  <si>
    <t>Мероприятие "Финансовое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</si>
  <si>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Координатор муниципальной программы, координатор подпрограммы, участники муниципальной программы</t>
  </si>
  <si>
    <t>МКУ Отдел образования администрации Бурейского района</t>
  </si>
  <si>
    <t>ГРБС</t>
  </si>
  <si>
    <t>РзПз</t>
  </si>
  <si>
    <t>ЦСР</t>
  </si>
  <si>
    <t>003</t>
  </si>
  <si>
    <t>59 0 00 00000</t>
  </si>
  <si>
    <t>59 1 00 00000</t>
  </si>
  <si>
    <t>59 1 01 00000</t>
  </si>
  <si>
    <t>59 1 02 00000</t>
  </si>
  <si>
    <t>59 1 03 00000</t>
  </si>
  <si>
    <t>59 1 04 00000</t>
  </si>
  <si>
    <t>59 1 05 00000</t>
  </si>
  <si>
    <t>59 2 00 00000</t>
  </si>
  <si>
    <t>59 2 01 00000</t>
  </si>
  <si>
    <t>59 2 02 00000</t>
  </si>
  <si>
    <t>59 2 03 00000</t>
  </si>
  <si>
    <t>59 2 04 00000</t>
  </si>
  <si>
    <t>59 3 00 00000</t>
  </si>
  <si>
    <t>59 3 01 00000</t>
  </si>
  <si>
    <t>59 3 02 00000</t>
  </si>
  <si>
    <t>0709</t>
  </si>
  <si>
    <t>0701</t>
  </si>
  <si>
    <t>59 1 01 20591</t>
  </si>
  <si>
    <t>59 1 01 88500</t>
  </si>
  <si>
    <t>1004</t>
  </si>
  <si>
    <t>59 1 01 87250</t>
  </si>
  <si>
    <t>59 1 01 00070</t>
  </si>
  <si>
    <t>0702</t>
  </si>
  <si>
    <t>59 1 02 88500</t>
  </si>
  <si>
    <t>0703</t>
  </si>
  <si>
    <t>59 1 04 00040</t>
  </si>
  <si>
    <t>59 1 04 00041</t>
  </si>
  <si>
    <t>59 1 05 00050</t>
  </si>
  <si>
    <t>1003</t>
  </si>
  <si>
    <t>59 1 05 00060</t>
  </si>
  <si>
    <t>59 1 05 00061</t>
  </si>
  <si>
    <t>59 2 01 00080</t>
  </si>
  <si>
    <t>59 2 02 S7500</t>
  </si>
  <si>
    <t>0707</t>
  </si>
  <si>
    <t>59 2 02 00091</t>
  </si>
  <si>
    <t>59 2 02 00090</t>
  </si>
  <si>
    <t>59 2 02 97070</t>
  </si>
  <si>
    <t>59 2 03 00100</t>
  </si>
  <si>
    <t>59 2 04 00610</t>
  </si>
  <si>
    <t>59 2 04 00620</t>
  </si>
  <si>
    <t>59 2 04 87700</t>
  </si>
  <si>
    <t>59 2 04 11020</t>
  </si>
  <si>
    <t>59 2 04 70000</t>
  </si>
  <si>
    <t>59 2 04 00710</t>
  </si>
  <si>
    <t>59 2 04 S7620</t>
  </si>
  <si>
    <t>59 2 04 00630</t>
  </si>
  <si>
    <t>59 3 01 20190</t>
  </si>
  <si>
    <t>1006</t>
  </si>
  <si>
    <t>59 3 01 87300</t>
  </si>
  <si>
    <t>к муниципальной программе «Развитие образования Бурейского района на 2015 – 2025 годы»</t>
  </si>
  <si>
    <t>2021 год</t>
  </si>
  <si>
    <t>2022 год</t>
  </si>
  <si>
    <t>2023 год</t>
  </si>
  <si>
    <t>2024 год</t>
  </si>
  <si>
    <t>2025 год</t>
  </si>
  <si>
    <t>Приложение №3</t>
  </si>
  <si>
    <t>Мероприятие "Выравнивание обеспеченности муниципальных образований по реализации ими отдельных расходных обязательств (обеспечение деятельности(оказание услуг) муниципальных учреждений)"</t>
  </si>
  <si>
    <t>"Развитие образования Бурейского района на 2015-2025 годы"</t>
  </si>
  <si>
    <t>Мероприятие "Выравнивание обеспеченности муниципальных образований по реализации ими отдельных расходных обязательств (обеспечение деятельности (оказание услуг) муниципальных учреждений)"</t>
  </si>
  <si>
    <t>59 1 04L0970</t>
  </si>
  <si>
    <t>59 1 01S771A</t>
  </si>
  <si>
    <t>59 1 02S771A</t>
  </si>
  <si>
    <t>59 1 03S771A</t>
  </si>
  <si>
    <t>59 3 02S771A</t>
  </si>
  <si>
    <t>Мероприятие "Содержание органов местного самоуправления"</t>
  </si>
  <si>
    <t>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</si>
  <si>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1.6.</t>
  </si>
  <si>
    <t>1.6.1.</t>
  </si>
  <si>
    <t>59 1 Е452100</t>
  </si>
  <si>
    <t>59 1 Е400000</t>
  </si>
  <si>
    <t>1.2.3.</t>
  </si>
  <si>
    <t>Мероприятие "Финансовое обеспечение государственного полномочия Амурской области по обеспечению обучающихся по образовательным програмам начального общего образования в муниципальных общеобразовательных организациях питанием"</t>
  </si>
  <si>
    <t>59 1 02 80630</t>
  </si>
  <si>
    <t>Основное мероприятие 1.6. "Федеральный проект "Цифровая образовательная среда"</t>
  </si>
  <si>
    <t>Код бюджетной классификации</t>
  </si>
  <si>
    <t>1.7.</t>
  </si>
  <si>
    <t>1.7.1.</t>
  </si>
  <si>
    <t>Мероприятие "Предоставление пособий молодым специалистам-педагогическим работникам"</t>
  </si>
  <si>
    <t>к   изменениям,   вносимым   в   муниципальную   программу "Развитие  образования   Бурейского    района    на 2015-2025 годы",   утвержденную   постановлением   главы  Бурейского  района от 17.10.2014 № 730 "Об утверждении муниципальной    программы    "Развитие    образования Бурейского района  на 2015-2025   годы",   утвержденным    постановлением    главы района от ____________ № ____</t>
  </si>
  <si>
    <t>Подпрограмма 3 "Обеспечение реализации муниципальной программы "Развитие образования Бурейского района на 2015 - 2025 годы" и прочие мероприятия в области образования"</t>
  </si>
  <si>
    <t>Мероприятие "Социальная поддержка многодетных семей по оплате питания для учащихся образовательных организаций"</t>
  </si>
  <si>
    <t>1.4.4.</t>
  </si>
  <si>
    <t>59 1 04L2550</t>
  </si>
  <si>
    <t>59 1 Е200000</t>
  </si>
  <si>
    <t>59 1 Е250970</t>
  </si>
  <si>
    <t>59 1 Е150970</t>
  </si>
  <si>
    <t>Мероприятие "Благоустройство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канализации"</t>
  </si>
  <si>
    <t>Основное мероприятие 1.7. "Региональный проект "Успех каждого ребенка"</t>
  </si>
  <si>
    <t>Мероприятие "Создание в общеобразовательных организациях, расположенных в сельской местности и малых городах, условий для занятий физической культуры и спортом"</t>
  </si>
  <si>
    <t>Мероприятие "Финансовое обеспечение государственных полномочий Амурской области по выплате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(родителю)"</t>
  </si>
  <si>
    <t>Мероприятие "Финансовое обеспечение государственных полномочий по назначению и выплате денежной выплаты при передаче ребенка на воспитание в семью, осуществлению контроля за расходованием усыновителями, опекунами (попечителями), приемными родителями денежной выплаты и возврату денежной выплаты"</t>
  </si>
  <si>
    <t>Мероприятие "Финансовое обеспечение государственных полномочий по организации и осуществлению деятельности по опеке и попечительству несовершеннолетних лиц"</t>
  </si>
  <si>
    <t>Мероприятие Субвенции на финансовое обеспечение государственных полномочий по выплате лицам из числа детей-сирот и детей, оставшихся без попечения родителей, достигшим 18 лет, но продолжающим обучение в муниципальной общеобразовательной организации, до окончания обучения"</t>
  </si>
  <si>
    <t>1.4.5.</t>
  </si>
  <si>
    <t>59 1 04 S8490</t>
  </si>
  <si>
    <t>1.4.6.</t>
  </si>
  <si>
    <t>Мероприятие "Проведение мероприятий по противопожарной и антитеррористической защищенности муниципальных образовательных организаций"</t>
  </si>
  <si>
    <t>Мероприятие "Модернизация систем общего образования"</t>
  </si>
  <si>
    <t>59 1 04 S0920</t>
  </si>
  <si>
    <t>1.3.2.</t>
  </si>
  <si>
    <t>Мероприятие "Обеспечение функционирования системы персонифицированного финансирования дополнительного образования детей"</t>
  </si>
  <si>
    <t>004</t>
  </si>
  <si>
    <t>59 1 03 01220</t>
  </si>
  <si>
    <t xml:space="preserve">Приложение </t>
  </si>
  <si>
    <t>1.2.4.</t>
  </si>
  <si>
    <t>1.2.5.</t>
  </si>
  <si>
    <t>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полномочия)"</t>
  </si>
  <si>
    <t>59 1 02 53030</t>
  </si>
  <si>
    <t>59 1 02 80740</t>
  </si>
  <si>
    <t>Мероприятие "Ежемесячное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</si>
</sst>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E+00"/>
    <numFmt numFmtId="202" formatCode="0.00000E+00"/>
    <numFmt numFmtId="203" formatCode="0.0000E+00"/>
    <numFmt numFmtId="204" formatCode="0.000E+00"/>
    <numFmt numFmtId="205" formatCode="#,##0.0000"/>
    <numFmt numFmtId="206" formatCode="#,##0.00000"/>
    <numFmt numFmtId="207" formatCode="#,##0.000000"/>
    <numFmt numFmtId="208" formatCode="#,##0.0000000"/>
    <numFmt numFmtId="209" formatCode="#,##0.00000000"/>
    <numFmt numFmtId="210" formatCode="#,##0.000000000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.5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94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right" vertical="top" wrapText="1"/>
    </xf>
    <xf numFmtId="194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right" vertical="top" wrapText="1"/>
    </xf>
    <xf numFmtId="200" fontId="7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center" vertical="top" wrapText="1"/>
    </xf>
    <xf numFmtId="200" fontId="3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93" fontId="1" fillId="0" borderId="0" xfId="0" applyNumberFormat="1" applyFont="1" applyFill="1" applyAlignment="1">
      <alignment/>
    </xf>
    <xf numFmtId="192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192" fontId="1" fillId="0" borderId="10" xfId="0" applyNumberFormat="1" applyFont="1" applyFill="1" applyBorder="1" applyAlignment="1">
      <alignment horizontal="center" vertical="top"/>
    </xf>
    <xf numFmtId="200" fontId="3" fillId="0" borderId="10" xfId="0" applyNumberFormat="1" applyFont="1" applyFill="1" applyBorder="1" applyAlignment="1">
      <alignment horizontal="center" vertical="top"/>
    </xf>
    <xf numFmtId="192" fontId="3" fillId="0" borderId="10" xfId="0" applyNumberFormat="1" applyFont="1" applyFill="1" applyBorder="1" applyAlignment="1">
      <alignment horizontal="center" vertical="top"/>
    </xf>
    <xf numFmtId="200" fontId="7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right" vertical="top"/>
    </xf>
    <xf numFmtId="200" fontId="0" fillId="0" borderId="10" xfId="0" applyNumberFormat="1" applyFont="1" applyFill="1" applyBorder="1" applyAlignment="1">
      <alignment/>
    </xf>
    <xf numFmtId="200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192" fontId="6" fillId="33" borderId="10" xfId="0" applyNumberFormat="1" applyFont="1" applyFill="1" applyBorder="1" applyAlignment="1">
      <alignment horizontal="left" vertical="center" wrapText="1"/>
    </xf>
    <xf numFmtId="192" fontId="3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200" fontId="1" fillId="33" borderId="10" xfId="0" applyNumberFormat="1" applyFont="1" applyFill="1" applyBorder="1" applyAlignment="1">
      <alignment horizontal="center" vertical="top" wrapText="1"/>
    </xf>
    <xf numFmtId="192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center" wrapText="1"/>
    </xf>
    <xf numFmtId="192" fontId="1" fillId="33" borderId="10" xfId="0" applyNumberFormat="1" applyFont="1" applyFill="1" applyBorder="1" applyAlignment="1">
      <alignment horizontal="center" vertical="top"/>
    </xf>
    <xf numFmtId="200" fontId="1" fillId="33" borderId="10" xfId="0" applyNumberFormat="1" applyFont="1" applyFill="1" applyBorder="1" applyAlignment="1">
      <alignment horizontal="center" vertical="top"/>
    </xf>
    <xf numFmtId="192" fontId="3" fillId="33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200" fontId="1" fillId="0" borderId="10" xfId="0" applyNumberFormat="1" applyFont="1" applyFill="1" applyBorder="1" applyAlignment="1">
      <alignment/>
    </xf>
    <xf numFmtId="200" fontId="0" fillId="32" borderId="0" xfId="0" applyNumberForma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9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92" fontId="6" fillId="0" borderId="10" xfId="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V343"/>
  <sheetViews>
    <sheetView tabSelected="1" view="pageBreakPreview" zoomScaleSheetLayoutView="100" zoomScalePageLayoutView="0" workbookViewId="0" topLeftCell="A1">
      <selection activeCell="T352" sqref="T352"/>
    </sheetView>
  </sheetViews>
  <sheetFormatPr defaultColWidth="9.140625" defaultRowHeight="12.75"/>
  <cols>
    <col min="1" max="1" width="5.421875" style="1" customWidth="1"/>
    <col min="2" max="2" width="26.28125" style="2" customWidth="1"/>
    <col min="3" max="3" width="8.8515625" style="2" customWidth="1"/>
    <col min="4" max="4" width="12.57421875" style="1" customWidth="1"/>
    <col min="5" max="5" width="3.57421875" style="2" customWidth="1"/>
    <col min="6" max="6" width="4.421875" style="2" customWidth="1"/>
    <col min="7" max="7" width="10.57421875" style="2" customWidth="1"/>
    <col min="8" max="8" width="10.7109375" style="2" customWidth="1"/>
    <col min="9" max="12" width="8.7109375" style="2" customWidth="1"/>
    <col min="13" max="19" width="9.8515625" style="2" customWidth="1"/>
    <col min="20" max="20" width="12.7109375" style="0" customWidth="1"/>
    <col min="21" max="21" width="11.00390625" style="0" customWidth="1"/>
    <col min="22" max="22" width="13.8515625" style="0" customWidth="1"/>
  </cols>
  <sheetData>
    <row r="1" spans="14:19" ht="15" customHeight="1">
      <c r="N1" s="54" t="s">
        <v>208</v>
      </c>
      <c r="O1" s="54"/>
      <c r="P1" s="54"/>
      <c r="Q1" s="54"/>
      <c r="R1" s="54"/>
      <c r="S1" s="54"/>
    </row>
    <row r="2" spans="14:19" ht="104.25" customHeight="1">
      <c r="N2" s="55" t="s">
        <v>183</v>
      </c>
      <c r="O2" s="55"/>
      <c r="P2" s="55"/>
      <c r="Q2" s="55"/>
      <c r="R2" s="55"/>
      <c r="S2" s="55"/>
    </row>
    <row r="3" spans="14:19" ht="14.25">
      <c r="N3" s="18"/>
      <c r="O3" s="18"/>
      <c r="P3" s="18"/>
      <c r="Q3" s="18"/>
      <c r="R3" s="18"/>
      <c r="S3" s="18"/>
    </row>
    <row r="4" spans="1:19" ht="16.5" customHeight="1">
      <c r="A4" s="60"/>
      <c r="B4" s="3"/>
      <c r="C4" s="3"/>
      <c r="D4" s="4"/>
      <c r="E4" s="3"/>
      <c r="F4" s="3"/>
      <c r="G4" s="3"/>
      <c r="H4" s="3"/>
      <c r="I4" s="19"/>
      <c r="N4" s="54" t="s">
        <v>160</v>
      </c>
      <c r="O4" s="54"/>
      <c r="P4" s="54"/>
      <c r="Q4" s="54"/>
      <c r="R4" s="54"/>
      <c r="S4" s="54"/>
    </row>
    <row r="5" spans="1:19" ht="28.5" customHeight="1">
      <c r="A5" s="60"/>
      <c r="B5" s="3"/>
      <c r="C5" s="3"/>
      <c r="D5" s="4"/>
      <c r="E5" s="3"/>
      <c r="F5" s="3"/>
      <c r="G5" s="3"/>
      <c r="H5" s="3"/>
      <c r="I5" s="3"/>
      <c r="N5" s="55" t="s">
        <v>154</v>
      </c>
      <c r="O5" s="55"/>
      <c r="P5" s="55"/>
      <c r="Q5" s="55"/>
      <c r="R5" s="55"/>
      <c r="S5" s="55"/>
    </row>
    <row r="6" spans="1:14" ht="12.75" customHeight="1">
      <c r="A6" s="4"/>
      <c r="B6" s="3"/>
      <c r="C6" s="3"/>
      <c r="D6" s="4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9" ht="34.5" customHeight="1">
      <c r="A7" s="57" t="s">
        <v>83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4" ht="7.5" customHeight="1">
      <c r="A8" s="4"/>
      <c r="B8" s="3"/>
      <c r="C8" s="3"/>
      <c r="D8" s="4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9" ht="27" customHeight="1">
      <c r="A9" s="58" t="s">
        <v>1</v>
      </c>
      <c r="B9" s="63" t="s">
        <v>80</v>
      </c>
      <c r="C9" s="63" t="s">
        <v>99</v>
      </c>
      <c r="D9" s="58" t="s">
        <v>3</v>
      </c>
      <c r="E9" s="50" t="s">
        <v>179</v>
      </c>
      <c r="F9" s="51"/>
      <c r="G9" s="52"/>
      <c r="H9" s="56" t="s">
        <v>4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ht="94.5" customHeight="1">
      <c r="A10" s="59"/>
      <c r="B10" s="64"/>
      <c r="C10" s="64"/>
      <c r="D10" s="59"/>
      <c r="E10" s="16" t="s">
        <v>101</v>
      </c>
      <c r="F10" s="16" t="s">
        <v>102</v>
      </c>
      <c r="G10" s="16" t="s">
        <v>103</v>
      </c>
      <c r="H10" s="16" t="s">
        <v>0</v>
      </c>
      <c r="I10" s="16" t="s">
        <v>5</v>
      </c>
      <c r="J10" s="16" t="s">
        <v>6</v>
      </c>
      <c r="K10" s="16" t="s">
        <v>7</v>
      </c>
      <c r="L10" s="16" t="s">
        <v>8</v>
      </c>
      <c r="M10" s="16" t="s">
        <v>9</v>
      </c>
      <c r="N10" s="16" t="s">
        <v>10</v>
      </c>
      <c r="O10" s="16" t="s">
        <v>155</v>
      </c>
      <c r="P10" s="16" t="s">
        <v>156</v>
      </c>
      <c r="Q10" s="16" t="s">
        <v>157</v>
      </c>
      <c r="R10" s="16" t="s">
        <v>158</v>
      </c>
      <c r="S10" s="16" t="s">
        <v>159</v>
      </c>
    </row>
    <row r="11" spans="1:19" ht="15" customHeight="1">
      <c r="A11" s="9">
        <v>1</v>
      </c>
      <c r="B11" s="9">
        <v>2</v>
      </c>
      <c r="C11" s="9">
        <f>B11+1</f>
        <v>3</v>
      </c>
      <c r="D11" s="9">
        <f aca="true" t="shared" si="0" ref="D11:S11">C11+1</f>
        <v>4</v>
      </c>
      <c r="E11" s="9">
        <f t="shared" si="0"/>
        <v>5</v>
      </c>
      <c r="F11" s="9">
        <f t="shared" si="0"/>
        <v>6</v>
      </c>
      <c r="G11" s="9">
        <f t="shared" si="0"/>
        <v>7</v>
      </c>
      <c r="H11" s="9">
        <f t="shared" si="0"/>
        <v>8</v>
      </c>
      <c r="I11" s="9">
        <f t="shared" si="0"/>
        <v>9</v>
      </c>
      <c r="J11" s="9">
        <f t="shared" si="0"/>
        <v>10</v>
      </c>
      <c r="K11" s="9">
        <f t="shared" si="0"/>
        <v>11</v>
      </c>
      <c r="L11" s="9">
        <f t="shared" si="0"/>
        <v>12</v>
      </c>
      <c r="M11" s="9">
        <f>L11+1</f>
        <v>13</v>
      </c>
      <c r="N11" s="9">
        <f>M11+1</f>
        <v>14</v>
      </c>
      <c r="O11" s="9">
        <f t="shared" si="0"/>
        <v>15</v>
      </c>
      <c r="P11" s="9">
        <f>O11+1</f>
        <v>16</v>
      </c>
      <c r="Q11" s="9">
        <f t="shared" si="0"/>
        <v>17</v>
      </c>
      <c r="R11" s="9">
        <f t="shared" si="0"/>
        <v>18</v>
      </c>
      <c r="S11" s="9">
        <f t="shared" si="0"/>
        <v>19</v>
      </c>
    </row>
    <row r="12" spans="1:19" ht="16.5" customHeight="1">
      <c r="A12" s="53"/>
      <c r="B12" s="65" t="s">
        <v>162</v>
      </c>
      <c r="C12" s="61" t="s">
        <v>100</v>
      </c>
      <c r="D12" s="17" t="s">
        <v>2</v>
      </c>
      <c r="E12" s="20"/>
      <c r="F12" s="20"/>
      <c r="G12" s="21" t="s">
        <v>105</v>
      </c>
      <c r="H12" s="12">
        <f>I12+J12+K12+L12+M12+N12+O12+P12+Q12+R12+S12</f>
        <v>5551706.038</v>
      </c>
      <c r="I12" s="22">
        <f aca="true" t="shared" si="1" ref="I12:S12">I14+I15+I13</f>
        <v>373206</v>
      </c>
      <c r="J12" s="23">
        <f t="shared" si="1"/>
        <v>386670.30000000005</v>
      </c>
      <c r="K12" s="23">
        <f t="shared" si="1"/>
        <v>399389.50000000006</v>
      </c>
      <c r="L12" s="23">
        <f t="shared" si="1"/>
        <v>484381.60000000003</v>
      </c>
      <c r="M12" s="13">
        <f>M14+M15+M13</f>
        <v>499974.904</v>
      </c>
      <c r="N12" s="13">
        <f>N14+N15+N13</f>
        <v>604179.764</v>
      </c>
      <c r="O12" s="14">
        <f t="shared" si="1"/>
        <v>544098.1640000001</v>
      </c>
      <c r="P12" s="12">
        <f>P14+P15+P13</f>
        <v>565846.706</v>
      </c>
      <c r="Q12" s="14">
        <f>Q14+Q15+Q13</f>
        <v>542657.2999999999</v>
      </c>
      <c r="R12" s="14">
        <f t="shared" si="1"/>
        <v>564363.6</v>
      </c>
      <c r="S12" s="14">
        <f t="shared" si="1"/>
        <v>586938.2</v>
      </c>
    </row>
    <row r="13" spans="1:19" ht="27" customHeight="1">
      <c r="A13" s="53"/>
      <c r="B13" s="65"/>
      <c r="C13" s="61"/>
      <c r="D13" s="34" t="s">
        <v>11</v>
      </c>
      <c r="E13" s="21"/>
      <c r="F13" s="20"/>
      <c r="G13" s="21" t="s">
        <v>105</v>
      </c>
      <c r="H13" s="13">
        <f aca="true" t="shared" si="2" ref="H13:H99">I13+J13+K13+L13+M13+N13+O13+P13+Q13+R13+S13</f>
        <v>96555.28</v>
      </c>
      <c r="I13" s="23">
        <f aca="true" t="shared" si="3" ref="I13:S13">I20+I200+I306</f>
        <v>1225.4</v>
      </c>
      <c r="J13" s="23">
        <f t="shared" si="3"/>
        <v>1120</v>
      </c>
      <c r="K13" s="23">
        <f t="shared" si="3"/>
        <v>819.4</v>
      </c>
      <c r="L13" s="23">
        <f t="shared" si="3"/>
        <v>1066</v>
      </c>
      <c r="M13" s="13">
        <f t="shared" si="3"/>
        <v>2134.36</v>
      </c>
      <c r="N13" s="13">
        <f>N20+N200+N306</f>
        <v>50114.560000000005</v>
      </c>
      <c r="O13" s="13">
        <f t="shared" si="3"/>
        <v>20037.78</v>
      </c>
      <c r="P13" s="13">
        <f t="shared" si="3"/>
        <v>20037.78</v>
      </c>
      <c r="Q13" s="13">
        <f t="shared" si="3"/>
        <v>0</v>
      </c>
      <c r="R13" s="13">
        <f t="shared" si="3"/>
        <v>0</v>
      </c>
      <c r="S13" s="13">
        <f t="shared" si="3"/>
        <v>0</v>
      </c>
    </row>
    <row r="14" spans="1:20" ht="27" customHeight="1">
      <c r="A14" s="53"/>
      <c r="B14" s="65"/>
      <c r="C14" s="61"/>
      <c r="D14" s="34" t="s">
        <v>20</v>
      </c>
      <c r="E14" s="21"/>
      <c r="F14" s="20"/>
      <c r="G14" s="21" t="s">
        <v>105</v>
      </c>
      <c r="H14" s="12">
        <f t="shared" si="2"/>
        <v>4297579.996</v>
      </c>
      <c r="I14" s="22">
        <f aca="true" t="shared" si="4" ref="I14:S14">I21+I201+I307</f>
        <v>208310.39999999997</v>
      </c>
      <c r="J14" s="23">
        <f t="shared" si="4"/>
        <v>205200.4</v>
      </c>
      <c r="K14" s="23">
        <f t="shared" si="4"/>
        <v>213485</v>
      </c>
      <c r="L14" s="23">
        <f t="shared" si="4"/>
        <v>232168.9</v>
      </c>
      <c r="M14" s="13">
        <f t="shared" si="4"/>
        <v>424892.804</v>
      </c>
      <c r="N14" s="13">
        <f t="shared" si="4"/>
        <v>483388.98199999996</v>
      </c>
      <c r="O14" s="14">
        <f>O21+O201+O307</f>
        <v>495447.58400000003</v>
      </c>
      <c r="P14" s="12">
        <f t="shared" si="4"/>
        <v>521772.42600000004</v>
      </c>
      <c r="Q14" s="14">
        <f t="shared" si="4"/>
        <v>484659.6</v>
      </c>
      <c r="R14" s="14">
        <f t="shared" si="4"/>
        <v>504045.99999999994</v>
      </c>
      <c r="S14" s="14">
        <f t="shared" si="4"/>
        <v>524207.89999999997</v>
      </c>
      <c r="T14" s="10">
        <f>N28+N63+N101+N340</f>
        <v>189299.7</v>
      </c>
    </row>
    <row r="15" spans="1:21" ht="27" customHeight="1">
      <c r="A15" s="53"/>
      <c r="B15" s="65"/>
      <c r="C15" s="61"/>
      <c r="D15" s="34" t="s">
        <v>12</v>
      </c>
      <c r="E15" s="21"/>
      <c r="F15" s="20"/>
      <c r="G15" s="21" t="s">
        <v>105</v>
      </c>
      <c r="H15" s="12">
        <f t="shared" si="2"/>
        <v>1157570.7620000003</v>
      </c>
      <c r="I15" s="22">
        <f aca="true" t="shared" si="5" ref="I15:S15">I22+I202+I308</f>
        <v>163670.19999999998</v>
      </c>
      <c r="J15" s="23">
        <f t="shared" si="5"/>
        <v>180349.90000000005</v>
      </c>
      <c r="K15" s="23">
        <f t="shared" si="5"/>
        <v>185085.10000000003</v>
      </c>
      <c r="L15" s="23">
        <f t="shared" si="5"/>
        <v>251146.70000000004</v>
      </c>
      <c r="M15" s="13">
        <f t="shared" si="5"/>
        <v>72947.74</v>
      </c>
      <c r="N15" s="13">
        <f t="shared" si="5"/>
        <v>70676.22200000001</v>
      </c>
      <c r="O15" s="13">
        <f t="shared" si="5"/>
        <v>28612.800000000017</v>
      </c>
      <c r="P15" s="13">
        <f t="shared" si="5"/>
        <v>24036.499999999993</v>
      </c>
      <c r="Q15" s="13">
        <f t="shared" si="5"/>
        <v>57997.700000000004</v>
      </c>
      <c r="R15" s="13">
        <f t="shared" si="5"/>
        <v>60317.6</v>
      </c>
      <c r="S15" s="13">
        <f t="shared" si="5"/>
        <v>62730.3</v>
      </c>
      <c r="T15" s="10">
        <f>N41+N54+N70+N76+N138+N195+N219+N269+N276+N295+N320</f>
        <v>275709.644</v>
      </c>
      <c r="U15">
        <v>280680643.56</v>
      </c>
    </row>
    <row r="16" spans="1:20" ht="27" customHeight="1">
      <c r="A16" s="53"/>
      <c r="B16" s="65"/>
      <c r="C16" s="61"/>
      <c r="D16" s="34" t="s">
        <v>14</v>
      </c>
      <c r="E16" s="20"/>
      <c r="F16" s="20"/>
      <c r="G16" s="20"/>
      <c r="H16" s="13">
        <f t="shared" si="2"/>
        <v>0</v>
      </c>
      <c r="I16" s="23">
        <f aca="true" t="shared" si="6" ref="I16:S16">I23+I203+I309</f>
        <v>0</v>
      </c>
      <c r="J16" s="23">
        <f t="shared" si="6"/>
        <v>0</v>
      </c>
      <c r="K16" s="23">
        <f t="shared" si="6"/>
        <v>0</v>
      </c>
      <c r="L16" s="23">
        <f t="shared" si="6"/>
        <v>0</v>
      </c>
      <c r="M16" s="13">
        <f t="shared" si="6"/>
        <v>0</v>
      </c>
      <c r="N16" s="13">
        <f t="shared" si="6"/>
        <v>0</v>
      </c>
      <c r="O16" s="13">
        <f t="shared" si="6"/>
        <v>0</v>
      </c>
      <c r="P16" s="13">
        <f t="shared" si="6"/>
        <v>0</v>
      </c>
      <c r="Q16" s="13">
        <f t="shared" si="6"/>
        <v>0</v>
      </c>
      <c r="R16" s="13">
        <f t="shared" si="6"/>
        <v>0</v>
      </c>
      <c r="S16" s="13">
        <f t="shared" si="6"/>
        <v>0</v>
      </c>
      <c r="T16" s="10">
        <f>T14+T15</f>
        <v>465009.344</v>
      </c>
    </row>
    <row r="17" spans="1:19" ht="27" customHeight="1">
      <c r="A17" s="53"/>
      <c r="B17" s="65"/>
      <c r="C17" s="61"/>
      <c r="D17" s="34" t="s">
        <v>13</v>
      </c>
      <c r="E17" s="20"/>
      <c r="F17" s="20"/>
      <c r="G17" s="20"/>
      <c r="H17" s="13">
        <f t="shared" si="2"/>
        <v>0</v>
      </c>
      <c r="I17" s="23">
        <f aca="true" t="shared" si="7" ref="I17:S17">I24+I204+I310</f>
        <v>0</v>
      </c>
      <c r="J17" s="23">
        <f t="shared" si="7"/>
        <v>0</v>
      </c>
      <c r="K17" s="23">
        <f t="shared" si="7"/>
        <v>0</v>
      </c>
      <c r="L17" s="23">
        <f t="shared" si="7"/>
        <v>0</v>
      </c>
      <c r="M17" s="13">
        <f t="shared" si="7"/>
        <v>0</v>
      </c>
      <c r="N17" s="13">
        <f t="shared" si="7"/>
        <v>0</v>
      </c>
      <c r="O17" s="13">
        <f t="shared" si="7"/>
        <v>0</v>
      </c>
      <c r="P17" s="13">
        <f t="shared" si="7"/>
        <v>0</v>
      </c>
      <c r="Q17" s="13">
        <f t="shared" si="7"/>
        <v>0</v>
      </c>
      <c r="R17" s="13">
        <f t="shared" si="7"/>
        <v>0</v>
      </c>
      <c r="S17" s="13">
        <f t="shared" si="7"/>
        <v>0</v>
      </c>
    </row>
    <row r="18" spans="1:19" ht="15" customHeight="1">
      <c r="A18" s="9">
        <v>1</v>
      </c>
      <c r="B18" s="9">
        <v>2</v>
      </c>
      <c r="C18" s="9">
        <f aca="true" t="shared" si="8" ref="C18:S18">B18+1</f>
        <v>3</v>
      </c>
      <c r="D18" s="34">
        <f t="shared" si="8"/>
        <v>4</v>
      </c>
      <c r="E18" s="9">
        <f t="shared" si="8"/>
        <v>5</v>
      </c>
      <c r="F18" s="9">
        <f t="shared" si="8"/>
        <v>6</v>
      </c>
      <c r="G18" s="9">
        <f t="shared" si="8"/>
        <v>7</v>
      </c>
      <c r="H18" s="24">
        <f t="shared" si="8"/>
        <v>8</v>
      </c>
      <c r="I18" s="24">
        <f t="shared" si="8"/>
        <v>9</v>
      </c>
      <c r="J18" s="24">
        <f t="shared" si="8"/>
        <v>10</v>
      </c>
      <c r="K18" s="24">
        <f t="shared" si="8"/>
        <v>11</v>
      </c>
      <c r="L18" s="24">
        <f t="shared" si="8"/>
        <v>12</v>
      </c>
      <c r="M18" s="24">
        <f t="shared" si="8"/>
        <v>13</v>
      </c>
      <c r="N18" s="24">
        <f t="shared" si="8"/>
        <v>14</v>
      </c>
      <c r="O18" s="24">
        <f t="shared" si="8"/>
        <v>15</v>
      </c>
      <c r="P18" s="24">
        <f t="shared" si="8"/>
        <v>16</v>
      </c>
      <c r="Q18" s="24">
        <f t="shared" si="8"/>
        <v>17</v>
      </c>
      <c r="R18" s="24">
        <f t="shared" si="8"/>
        <v>18</v>
      </c>
      <c r="S18" s="24">
        <f t="shared" si="8"/>
        <v>19</v>
      </c>
    </row>
    <row r="19" spans="1:19" ht="15" customHeight="1">
      <c r="A19" s="53" t="s">
        <v>15</v>
      </c>
      <c r="B19" s="53" t="s">
        <v>18</v>
      </c>
      <c r="C19" s="61" t="s">
        <v>100</v>
      </c>
      <c r="D19" s="17" t="s">
        <v>2</v>
      </c>
      <c r="E19" s="21"/>
      <c r="F19" s="20"/>
      <c r="G19" s="21" t="s">
        <v>106</v>
      </c>
      <c r="H19" s="12">
        <f t="shared" si="2"/>
        <v>5149588.995</v>
      </c>
      <c r="I19" s="22">
        <f aca="true" t="shared" si="9" ref="I19:S19">SUM(I20:I24)</f>
        <v>340421.5</v>
      </c>
      <c r="J19" s="23">
        <f t="shared" si="9"/>
        <v>352865.4</v>
      </c>
      <c r="K19" s="23">
        <f t="shared" si="9"/>
        <v>365788.5</v>
      </c>
      <c r="L19" s="23">
        <f t="shared" si="9"/>
        <v>448889.6000000001</v>
      </c>
      <c r="M19" s="13">
        <f>SUM(M20:M24)</f>
        <v>464658.55999999994</v>
      </c>
      <c r="N19" s="13">
        <f>SUM(N20:N24)</f>
        <v>567829.0009999999</v>
      </c>
      <c r="O19" s="14">
        <f t="shared" si="9"/>
        <v>506898.4930000001</v>
      </c>
      <c r="P19" s="12">
        <f>SUM(P20:P24)</f>
        <v>528102.941</v>
      </c>
      <c r="Q19" s="14">
        <f t="shared" si="9"/>
        <v>504271.89999999997</v>
      </c>
      <c r="R19" s="14">
        <f t="shared" si="9"/>
        <v>524442.6</v>
      </c>
      <c r="S19" s="14">
        <f t="shared" si="9"/>
        <v>545420.5</v>
      </c>
    </row>
    <row r="20" spans="1:19" ht="27" customHeight="1">
      <c r="A20" s="53"/>
      <c r="B20" s="53"/>
      <c r="C20" s="61"/>
      <c r="D20" s="34" t="s">
        <v>11</v>
      </c>
      <c r="E20" s="21"/>
      <c r="F20" s="20"/>
      <c r="G20" s="21" t="s">
        <v>106</v>
      </c>
      <c r="H20" s="13">
        <f t="shared" si="2"/>
        <v>96555.28</v>
      </c>
      <c r="I20" s="23">
        <f>I27+I40+I46+I53+I62+I69+I100+I115+I164+I173+I179+I125+I33+I131</f>
        <v>1225.4</v>
      </c>
      <c r="J20" s="23">
        <f>J27+J40+J46+J53+J62+J69+J100+J115+J164+J173+J179+J125+J33+J131</f>
        <v>1120</v>
      </c>
      <c r="K20" s="23">
        <f>K27+K40+K46+K53+K62+K69+K100+K115+K164+K173+K179+K125+K33+K131</f>
        <v>819.4</v>
      </c>
      <c r="L20" s="23">
        <f>L27+L40+L46+L53+L62+L69+L100+L115+L164+L173+L179+L125+L33+L131</f>
        <v>1066</v>
      </c>
      <c r="M20" s="13">
        <f>M27+M40+M46+M53+M62+M69+M100+M115+M164+M173+M179+M125+M33+M131+M187+M75</f>
        <v>2134.36</v>
      </c>
      <c r="N20" s="13">
        <f aca="true" t="shared" si="10" ref="N20:S20">N27+N40+N46+N53+N62+N69+N100+N115+N164+N173+N179+N125+N33+N131+N187+N75+N137+N194+N156+N144+N84+N90</f>
        <v>50114.560000000005</v>
      </c>
      <c r="O20" s="13">
        <f t="shared" si="10"/>
        <v>20037.78</v>
      </c>
      <c r="P20" s="13">
        <f t="shared" si="10"/>
        <v>20037.78</v>
      </c>
      <c r="Q20" s="13">
        <f t="shared" si="10"/>
        <v>0</v>
      </c>
      <c r="R20" s="13">
        <f t="shared" si="10"/>
        <v>0</v>
      </c>
      <c r="S20" s="13">
        <f t="shared" si="10"/>
        <v>0</v>
      </c>
    </row>
    <row r="21" spans="1:19" ht="27" customHeight="1">
      <c r="A21" s="53"/>
      <c r="B21" s="53"/>
      <c r="C21" s="61"/>
      <c r="D21" s="34" t="s">
        <v>20</v>
      </c>
      <c r="E21" s="21"/>
      <c r="F21" s="20"/>
      <c r="G21" s="21" t="s">
        <v>106</v>
      </c>
      <c r="H21" s="12">
        <f t="shared" si="2"/>
        <v>4069954.287</v>
      </c>
      <c r="I21" s="22">
        <f>I28+I41+I47+I54+I63+I70+I101+I116+I165+I174+I180+I126+I132+I76</f>
        <v>195577.59999999998</v>
      </c>
      <c r="J21" s="23">
        <f>J28+J41+J47+J54+J63+J70+J101+J116+J165+J174+J180+J126+J132+J76</f>
        <v>192622.6</v>
      </c>
      <c r="K21" s="23">
        <f>K28+K41+K47+K54+K63+K70+K101+K116+K165+K174+K180+K126+K132+K76</f>
        <v>202565.30000000002</v>
      </c>
      <c r="L21" s="23">
        <f>L28+L41+L47+L54+L63+L70+L101+L116+L165+L174+L180+L126+L132+L76</f>
        <v>221851.30000000002</v>
      </c>
      <c r="M21" s="13">
        <f>M28+M41+M47+M54+M63+M70+M101+M116+M165+M174+M180+M126+M34+M132+M188+M76</f>
        <v>400927.17699999997</v>
      </c>
      <c r="N21" s="13">
        <f aca="true" t="shared" si="11" ref="N21:S21">N28+N41+N47+N54+N63+N70+N101+N116+N165+N174+N180+N126+N34+N132+N188+N76+N138+N195+N145+N157+N85+N91</f>
        <v>458452.75299999997</v>
      </c>
      <c r="O21" s="13">
        <f t="shared" si="11"/>
        <v>468166.052</v>
      </c>
      <c r="P21" s="13">
        <f t="shared" si="11"/>
        <v>493628.905</v>
      </c>
      <c r="Q21" s="13">
        <f t="shared" si="11"/>
        <v>460072.6</v>
      </c>
      <c r="R21" s="13">
        <f t="shared" si="11"/>
        <v>478475.39999999997</v>
      </c>
      <c r="S21" s="13">
        <f t="shared" si="11"/>
        <v>497614.6</v>
      </c>
    </row>
    <row r="22" spans="1:19" ht="27" customHeight="1">
      <c r="A22" s="53"/>
      <c r="B22" s="53"/>
      <c r="C22" s="61"/>
      <c r="D22" s="34" t="s">
        <v>12</v>
      </c>
      <c r="E22" s="21"/>
      <c r="F22" s="20"/>
      <c r="G22" s="21" t="s">
        <v>106</v>
      </c>
      <c r="H22" s="13">
        <f t="shared" si="2"/>
        <v>983079.4280000001</v>
      </c>
      <c r="I22" s="22">
        <f>I29+I42+I48+I57+I64+I71+I102+I117+I166+I175+I181+I35+I127+I133</f>
        <v>143618.5</v>
      </c>
      <c r="J22" s="23">
        <f>J29+J42+J48+J57+J64+J71+J102+J117+J166+J175+J181+J35+J127+J133</f>
        <v>159122.80000000005</v>
      </c>
      <c r="K22" s="23">
        <f>K29+K42+K48+K57+K64+K71+K102+K117+K166+K175+K181+K35+K127+K133</f>
        <v>162403.80000000002</v>
      </c>
      <c r="L22" s="23">
        <f>L29+L42+L48+L57+L64+L71+L102+L117+L166+L175+L181+L35+L127+L133</f>
        <v>225972.30000000005</v>
      </c>
      <c r="M22" s="13">
        <f>M29+M42+M48+M57+M64+M71+M102+M117+M166+M175+M181+M127+M35+M133+M189+M79</f>
        <v>61597.02300000001</v>
      </c>
      <c r="N22" s="13">
        <f aca="true" t="shared" si="12" ref="N22:S22">N29+N42+N48+N57+N64+N71+N102+N117+N166+N175+N181+N127+N35+N133+N189+N79+N139+N196+N149+N158+N108</f>
        <v>59261.68800000001</v>
      </c>
      <c r="O22" s="13">
        <f t="shared" si="12"/>
        <v>18694.661000000015</v>
      </c>
      <c r="P22" s="13">
        <f t="shared" si="12"/>
        <v>14436.255999999992</v>
      </c>
      <c r="Q22" s="13">
        <f t="shared" si="12"/>
        <v>44199.3</v>
      </c>
      <c r="R22" s="13">
        <f t="shared" si="12"/>
        <v>45967.2</v>
      </c>
      <c r="S22" s="13">
        <f t="shared" si="12"/>
        <v>47805.90000000001</v>
      </c>
    </row>
    <row r="23" spans="1:19" ht="27" customHeight="1">
      <c r="A23" s="53"/>
      <c r="B23" s="53"/>
      <c r="C23" s="61"/>
      <c r="D23" s="34" t="s">
        <v>14</v>
      </c>
      <c r="E23" s="20"/>
      <c r="F23" s="20"/>
      <c r="G23" s="20"/>
      <c r="H23" s="13">
        <f t="shared" si="2"/>
        <v>0</v>
      </c>
      <c r="I23" s="23">
        <f>I30+I43+I49+I58+I65+I72+I103+I121+I170+I176+I182</f>
        <v>0</v>
      </c>
      <c r="J23" s="23">
        <f>J30+J43+J49+J58+J65+J72+J103+J121+J170+J176+J182+J128</f>
        <v>0</v>
      </c>
      <c r="K23" s="23">
        <f>K30+K43+K49+K58+K65+K72+K103+K121+K170+K176+K182</f>
        <v>0</v>
      </c>
      <c r="L23" s="23">
        <f>L30+L43+L49+L58+L65+L72+L103+L121+L170+L176+L182</f>
        <v>0</v>
      </c>
      <c r="M23" s="13">
        <f>M30+M43+M49+M58+M65+M72+M103+M121+M170+M176+M182+M128+M134+M80</f>
        <v>0</v>
      </c>
      <c r="N23" s="13">
        <f aca="true" t="shared" si="13" ref="N23:S23">N30+N43+N49+N58+N65+N72+N103+N168+N176+N182+N128+N36+N134+N190+N80+N121</f>
        <v>0</v>
      </c>
      <c r="O23" s="13">
        <f t="shared" si="13"/>
        <v>0</v>
      </c>
      <c r="P23" s="13">
        <f t="shared" si="13"/>
        <v>0</v>
      </c>
      <c r="Q23" s="13">
        <f t="shared" si="13"/>
        <v>0</v>
      </c>
      <c r="R23" s="13">
        <f t="shared" si="13"/>
        <v>0</v>
      </c>
      <c r="S23" s="13">
        <f t="shared" si="13"/>
        <v>0</v>
      </c>
    </row>
    <row r="24" spans="1:19" ht="27" customHeight="1">
      <c r="A24" s="53"/>
      <c r="B24" s="53"/>
      <c r="C24" s="61"/>
      <c r="D24" s="34" t="s">
        <v>13</v>
      </c>
      <c r="E24" s="20"/>
      <c r="F24" s="20"/>
      <c r="G24" s="20"/>
      <c r="H24" s="13">
        <f t="shared" si="2"/>
        <v>0</v>
      </c>
      <c r="I24" s="23">
        <f>I31+I44+I50+I59+I66+I73+I104+I122+I171+I177+I183</f>
        <v>0</v>
      </c>
      <c r="J24" s="23">
        <f>J31+J44+J50+J59+J66+J73+J104+J122+J171+J177+J183+J129</f>
        <v>0</v>
      </c>
      <c r="K24" s="23">
        <f>K31+K44+K50+K59+K66+K73+K104+K122+K171+K177+K183</f>
        <v>0</v>
      </c>
      <c r="L24" s="23">
        <f>L31+L44+L50+L59+L66+L73+L104+L122+L171+L177+L183</f>
        <v>0</v>
      </c>
      <c r="M24" s="13">
        <f>M31+M44+M50+M59+M66+M73+M104+M122+M171+M177+M183+M129+M135+M81</f>
        <v>0</v>
      </c>
      <c r="N24" s="13">
        <f aca="true" t="shared" si="14" ref="N24:S24">N31+N44+N50+N59+N66+N73+N104+N177+N183+N129+N37+N135+N191+N81+N122+N171</f>
        <v>0</v>
      </c>
      <c r="O24" s="13">
        <f t="shared" si="14"/>
        <v>0</v>
      </c>
      <c r="P24" s="13">
        <f t="shared" si="14"/>
        <v>0</v>
      </c>
      <c r="Q24" s="13">
        <f t="shared" si="14"/>
        <v>0</v>
      </c>
      <c r="R24" s="13">
        <f t="shared" si="14"/>
        <v>0</v>
      </c>
      <c r="S24" s="13">
        <f t="shared" si="14"/>
        <v>0</v>
      </c>
    </row>
    <row r="25" spans="1:19" ht="58.5" customHeight="1">
      <c r="A25" s="6" t="s">
        <v>16</v>
      </c>
      <c r="B25" s="7" t="s">
        <v>17</v>
      </c>
      <c r="C25" s="7"/>
      <c r="D25" s="17" t="s">
        <v>2</v>
      </c>
      <c r="E25" s="21"/>
      <c r="F25" s="25"/>
      <c r="G25" s="21" t="s">
        <v>107</v>
      </c>
      <c r="H25" s="12">
        <f t="shared" si="2"/>
        <v>1459613.2149999999</v>
      </c>
      <c r="I25" s="23">
        <f>I26+I39+I45+I52</f>
        <v>96930.2</v>
      </c>
      <c r="J25" s="23">
        <f>J26+J39+J45+J52</f>
        <v>97885</v>
      </c>
      <c r="K25" s="23">
        <f>K26+K39+K45+K52</f>
        <v>104854.80000000002</v>
      </c>
      <c r="L25" s="23">
        <f aca="true" t="shared" si="15" ref="L25:S25">L26+L39+L45+L52+L32</f>
        <v>129305.8</v>
      </c>
      <c r="M25" s="13">
        <f>M26+M39+M45+M52+M32</f>
        <v>132524.965</v>
      </c>
      <c r="N25" s="13">
        <f>N26+N39+N45+N52+N32</f>
        <v>139475.29200000002</v>
      </c>
      <c r="O25" s="14">
        <f t="shared" si="15"/>
        <v>140884.595</v>
      </c>
      <c r="P25" s="12">
        <f>P26+P39+P45+P52+P32</f>
        <v>147088.563</v>
      </c>
      <c r="Q25" s="14">
        <f>Q26+Q39+Q45+Q52+Q32</f>
        <v>150776.59999999998</v>
      </c>
      <c r="R25" s="14">
        <f t="shared" si="15"/>
        <v>156807.5</v>
      </c>
      <c r="S25" s="14">
        <f t="shared" si="15"/>
        <v>163079.9</v>
      </c>
    </row>
    <row r="26" spans="1:20" ht="16.5" customHeight="1">
      <c r="A26" s="53" t="s">
        <v>19</v>
      </c>
      <c r="B26" s="53" t="s">
        <v>161</v>
      </c>
      <c r="C26" s="61" t="s">
        <v>100</v>
      </c>
      <c r="D26" s="17" t="s">
        <v>2</v>
      </c>
      <c r="E26" s="21"/>
      <c r="F26" s="25"/>
      <c r="G26" s="21" t="s">
        <v>165</v>
      </c>
      <c r="H26" s="13">
        <f t="shared" si="2"/>
        <v>719617.3790000001</v>
      </c>
      <c r="I26" s="23">
        <f>SUM(I27:I31)</f>
        <v>49438.9</v>
      </c>
      <c r="J26" s="23">
        <f>SUM(J27:J31)</f>
        <v>50164.4</v>
      </c>
      <c r="K26" s="23">
        <f>SUM(K27:K31)</f>
        <v>52686.8</v>
      </c>
      <c r="L26" s="23">
        <f>SUM(L27:L31)</f>
        <v>69110.6</v>
      </c>
      <c r="M26" s="13">
        <f>SUM(M27:M31)</f>
        <v>68896.893</v>
      </c>
      <c r="N26" s="13">
        <f>73728.541+33.5</f>
        <v>73762.041</v>
      </c>
      <c r="O26" s="13">
        <v>68755.043</v>
      </c>
      <c r="P26" s="13">
        <v>71144.002</v>
      </c>
      <c r="Q26" s="13">
        <f>SUM(Q27:Q31)</f>
        <v>69086</v>
      </c>
      <c r="R26" s="13">
        <f>SUM(R27:R31)</f>
        <v>71849.3</v>
      </c>
      <c r="S26" s="13">
        <f>SUM(S27:S31)</f>
        <v>74723.4</v>
      </c>
      <c r="T26" s="10">
        <f>N26+N61+N99+N338</f>
        <v>234012.649</v>
      </c>
    </row>
    <row r="27" spans="1:19" ht="27" customHeight="1">
      <c r="A27" s="53"/>
      <c r="B27" s="53"/>
      <c r="C27" s="61"/>
      <c r="D27" s="34" t="s">
        <v>11</v>
      </c>
      <c r="E27" s="20"/>
      <c r="F27" s="20"/>
      <c r="G27" s="20"/>
      <c r="H27" s="13">
        <f t="shared" si="2"/>
        <v>0</v>
      </c>
      <c r="I27" s="23"/>
      <c r="J27" s="23"/>
      <c r="K27" s="23"/>
      <c r="L27" s="23"/>
      <c r="M27" s="13"/>
      <c r="N27" s="13"/>
      <c r="O27" s="13"/>
      <c r="P27" s="13"/>
      <c r="Q27" s="13"/>
      <c r="R27" s="13"/>
      <c r="S27" s="13"/>
    </row>
    <row r="28" spans="1:20" ht="27" customHeight="1">
      <c r="A28" s="53"/>
      <c r="B28" s="53"/>
      <c r="C28" s="61"/>
      <c r="D28" s="34" t="s">
        <v>20</v>
      </c>
      <c r="E28" s="21" t="s">
        <v>104</v>
      </c>
      <c r="F28" s="21" t="s">
        <v>121</v>
      </c>
      <c r="G28" s="21" t="s">
        <v>165</v>
      </c>
      <c r="H28" s="13">
        <f t="shared" si="2"/>
        <v>417415.68</v>
      </c>
      <c r="I28" s="23"/>
      <c r="J28" s="23"/>
      <c r="K28" s="23"/>
      <c r="L28" s="23"/>
      <c r="M28" s="13">
        <v>56194.58</v>
      </c>
      <c r="N28" s="13">
        <v>58409.7</v>
      </c>
      <c r="O28" s="13">
        <v>63742.6</v>
      </c>
      <c r="P28" s="13">
        <v>67188.8</v>
      </c>
      <c r="Q28" s="13">
        <v>55061.5</v>
      </c>
      <c r="R28" s="13">
        <f>57264-0.1</f>
        <v>57263.9</v>
      </c>
      <c r="S28" s="13">
        <v>59554.6</v>
      </c>
      <c r="T28" s="10">
        <f>N28+N63+N101+N340</f>
        <v>189299.7</v>
      </c>
    </row>
    <row r="29" spans="1:19" ht="27" customHeight="1">
      <c r="A29" s="53"/>
      <c r="B29" s="53"/>
      <c r="C29" s="61"/>
      <c r="D29" s="34" t="s">
        <v>12</v>
      </c>
      <c r="E29" s="21" t="s">
        <v>104</v>
      </c>
      <c r="F29" s="21" t="s">
        <v>121</v>
      </c>
      <c r="G29" s="21" t="s">
        <v>165</v>
      </c>
      <c r="H29" s="13">
        <f t="shared" si="2"/>
        <v>302201.69899999996</v>
      </c>
      <c r="I29" s="23">
        <v>49438.9</v>
      </c>
      <c r="J29" s="23">
        <v>50164.4</v>
      </c>
      <c r="K29" s="23">
        <v>52686.8</v>
      </c>
      <c r="L29" s="23">
        <v>69110.6</v>
      </c>
      <c r="M29" s="13">
        <v>12702.313</v>
      </c>
      <c r="N29" s="13">
        <f>N26-N28</f>
        <v>15352.341</v>
      </c>
      <c r="O29" s="13">
        <f>O26-O28</f>
        <v>5012.443000000007</v>
      </c>
      <c r="P29" s="13">
        <f>P26-P28</f>
        <v>3955.20199999999</v>
      </c>
      <c r="Q29" s="13">
        <v>14024.5</v>
      </c>
      <c r="R29" s="13">
        <v>14585.4</v>
      </c>
      <c r="S29" s="13">
        <v>15168.8</v>
      </c>
    </row>
    <row r="30" spans="1:19" ht="27" customHeight="1">
      <c r="A30" s="53"/>
      <c r="B30" s="53"/>
      <c r="C30" s="61"/>
      <c r="D30" s="34" t="s">
        <v>14</v>
      </c>
      <c r="E30" s="20"/>
      <c r="F30" s="20"/>
      <c r="G30" s="20"/>
      <c r="H30" s="13">
        <f t="shared" si="2"/>
        <v>0</v>
      </c>
      <c r="I30" s="23"/>
      <c r="J30" s="23"/>
      <c r="K30" s="23"/>
      <c r="L30" s="23"/>
      <c r="M30" s="13"/>
      <c r="N30" s="13"/>
      <c r="O30" s="13"/>
      <c r="P30" s="13"/>
      <c r="Q30" s="13"/>
      <c r="R30" s="13"/>
      <c r="S30" s="13"/>
    </row>
    <row r="31" spans="1:19" ht="29.25" customHeight="1">
      <c r="A31" s="53"/>
      <c r="B31" s="53"/>
      <c r="C31" s="61"/>
      <c r="D31" s="34" t="s">
        <v>13</v>
      </c>
      <c r="E31" s="20"/>
      <c r="F31" s="20"/>
      <c r="G31" s="20"/>
      <c r="H31" s="13">
        <f t="shared" si="2"/>
        <v>0</v>
      </c>
      <c r="I31" s="23"/>
      <c r="J31" s="23"/>
      <c r="K31" s="23"/>
      <c r="L31" s="23"/>
      <c r="M31" s="13"/>
      <c r="N31" s="13"/>
      <c r="O31" s="13"/>
      <c r="P31" s="13"/>
      <c r="Q31" s="13"/>
      <c r="R31" s="13"/>
      <c r="S31" s="13"/>
    </row>
    <row r="32" spans="1:19" ht="15" customHeight="1">
      <c r="A32" s="53" t="s">
        <v>21</v>
      </c>
      <c r="B32" s="53" t="s">
        <v>86</v>
      </c>
      <c r="C32" s="61" t="s">
        <v>100</v>
      </c>
      <c r="D32" s="17" t="s">
        <v>2</v>
      </c>
      <c r="E32" s="21"/>
      <c r="F32" s="21"/>
      <c r="G32" s="21" t="s">
        <v>122</v>
      </c>
      <c r="H32" s="13">
        <f t="shared" si="2"/>
        <v>20331.25</v>
      </c>
      <c r="I32" s="23">
        <f aca="true" t="shared" si="16" ref="I32:N32">SUM(I33:I37)</f>
        <v>0</v>
      </c>
      <c r="J32" s="23">
        <f t="shared" si="16"/>
        <v>0</v>
      </c>
      <c r="K32" s="23">
        <f t="shared" si="16"/>
        <v>0</v>
      </c>
      <c r="L32" s="23">
        <f t="shared" si="16"/>
        <v>2392</v>
      </c>
      <c r="M32" s="13">
        <f>SUM(M33:M37)</f>
        <v>2341.05</v>
      </c>
      <c r="N32" s="13">
        <f t="shared" si="16"/>
        <v>2283</v>
      </c>
      <c r="O32" s="13">
        <f>SUM(O33:O37)</f>
        <v>2283</v>
      </c>
      <c r="P32" s="13">
        <f>SUM(P33:P37)</f>
        <v>2283</v>
      </c>
      <c r="Q32" s="13">
        <f>SUM(Q33:Q37)</f>
        <v>2802.8</v>
      </c>
      <c r="R32" s="13">
        <f>SUM(R33:R37)</f>
        <v>2914.9</v>
      </c>
      <c r="S32" s="13">
        <f>SUM(S33:S37)</f>
        <v>3031.5</v>
      </c>
    </row>
    <row r="33" spans="1:19" ht="27" customHeight="1">
      <c r="A33" s="53"/>
      <c r="B33" s="53"/>
      <c r="C33" s="61"/>
      <c r="D33" s="34" t="s">
        <v>11</v>
      </c>
      <c r="E33" s="20"/>
      <c r="F33" s="20"/>
      <c r="G33" s="20"/>
      <c r="H33" s="13">
        <f t="shared" si="2"/>
        <v>0</v>
      </c>
      <c r="I33" s="23"/>
      <c r="J33" s="23"/>
      <c r="K33" s="23"/>
      <c r="L33" s="23"/>
      <c r="M33" s="13"/>
      <c r="N33" s="13"/>
      <c r="O33" s="13"/>
      <c r="P33" s="13"/>
      <c r="Q33" s="13"/>
      <c r="R33" s="13"/>
      <c r="S33" s="13"/>
    </row>
    <row r="34" spans="1:19" ht="27" customHeight="1">
      <c r="A34" s="53"/>
      <c r="B34" s="53"/>
      <c r="C34" s="61"/>
      <c r="D34" s="34" t="s">
        <v>20</v>
      </c>
      <c r="E34" s="20"/>
      <c r="F34" s="20"/>
      <c r="G34" s="20"/>
      <c r="H34" s="13">
        <f t="shared" si="2"/>
        <v>0</v>
      </c>
      <c r="I34" s="23"/>
      <c r="J34" s="23"/>
      <c r="K34" s="23"/>
      <c r="L34" s="23"/>
      <c r="M34" s="13"/>
      <c r="N34" s="13"/>
      <c r="O34" s="13"/>
      <c r="P34" s="13"/>
      <c r="Q34" s="13"/>
      <c r="R34" s="13"/>
      <c r="S34" s="13"/>
    </row>
    <row r="35" spans="1:19" ht="27" customHeight="1">
      <c r="A35" s="53"/>
      <c r="B35" s="53"/>
      <c r="C35" s="61"/>
      <c r="D35" s="34" t="s">
        <v>12</v>
      </c>
      <c r="E35" s="21" t="s">
        <v>104</v>
      </c>
      <c r="F35" s="21" t="s">
        <v>121</v>
      </c>
      <c r="G35" s="21" t="s">
        <v>122</v>
      </c>
      <c r="H35" s="13">
        <f t="shared" si="2"/>
        <v>20331.25</v>
      </c>
      <c r="I35" s="23">
        <v>0</v>
      </c>
      <c r="J35" s="23">
        <v>0</v>
      </c>
      <c r="K35" s="23">
        <v>0</v>
      </c>
      <c r="L35" s="23">
        <v>2392</v>
      </c>
      <c r="M35" s="13">
        <v>2341.05</v>
      </c>
      <c r="N35" s="13">
        <v>2283</v>
      </c>
      <c r="O35" s="13">
        <v>2283</v>
      </c>
      <c r="P35" s="13">
        <v>2283</v>
      </c>
      <c r="Q35" s="13">
        <v>2802.8</v>
      </c>
      <c r="R35" s="13">
        <v>2914.9</v>
      </c>
      <c r="S35" s="13">
        <v>3031.5</v>
      </c>
    </row>
    <row r="36" spans="1:19" ht="27" customHeight="1">
      <c r="A36" s="53"/>
      <c r="B36" s="53"/>
      <c r="C36" s="61"/>
      <c r="D36" s="34" t="s">
        <v>14</v>
      </c>
      <c r="E36" s="20"/>
      <c r="F36" s="20"/>
      <c r="G36" s="20"/>
      <c r="H36" s="13">
        <f t="shared" si="2"/>
        <v>0</v>
      </c>
      <c r="I36" s="23"/>
      <c r="J36" s="23"/>
      <c r="K36" s="23"/>
      <c r="L36" s="23"/>
      <c r="M36" s="13"/>
      <c r="N36" s="13"/>
      <c r="O36" s="13"/>
      <c r="P36" s="13"/>
      <c r="Q36" s="13"/>
      <c r="R36" s="13"/>
      <c r="S36" s="13"/>
    </row>
    <row r="37" spans="1:19" ht="27" customHeight="1">
      <c r="A37" s="53"/>
      <c r="B37" s="53"/>
      <c r="C37" s="61"/>
      <c r="D37" s="34" t="s">
        <v>13</v>
      </c>
      <c r="E37" s="20"/>
      <c r="F37" s="20"/>
      <c r="G37" s="20"/>
      <c r="H37" s="13">
        <f t="shared" si="2"/>
        <v>0</v>
      </c>
      <c r="I37" s="23"/>
      <c r="J37" s="23"/>
      <c r="K37" s="23"/>
      <c r="L37" s="23"/>
      <c r="M37" s="13"/>
      <c r="N37" s="13"/>
      <c r="O37" s="13"/>
      <c r="P37" s="13"/>
      <c r="Q37" s="13"/>
      <c r="R37" s="13"/>
      <c r="S37" s="13"/>
    </row>
    <row r="38" spans="1:19" ht="15" customHeight="1">
      <c r="A38" s="9">
        <v>1</v>
      </c>
      <c r="B38" s="9">
        <v>2</v>
      </c>
      <c r="C38" s="9">
        <f aca="true" t="shared" si="17" ref="C38:S38">B38+1</f>
        <v>3</v>
      </c>
      <c r="D38" s="34">
        <f t="shared" si="17"/>
        <v>4</v>
      </c>
      <c r="E38" s="9">
        <f t="shared" si="17"/>
        <v>5</v>
      </c>
      <c r="F38" s="9">
        <f t="shared" si="17"/>
        <v>6</v>
      </c>
      <c r="G38" s="9">
        <f t="shared" si="17"/>
        <v>7</v>
      </c>
      <c r="H38" s="24">
        <f t="shared" si="17"/>
        <v>8</v>
      </c>
      <c r="I38" s="24">
        <f t="shared" si="17"/>
        <v>9</v>
      </c>
      <c r="J38" s="24">
        <f t="shared" si="17"/>
        <v>10</v>
      </c>
      <c r="K38" s="24">
        <f t="shared" si="17"/>
        <v>11</v>
      </c>
      <c r="L38" s="24">
        <f t="shared" si="17"/>
        <v>12</v>
      </c>
      <c r="M38" s="24">
        <f t="shared" si="17"/>
        <v>13</v>
      </c>
      <c r="N38" s="24">
        <f t="shared" si="17"/>
        <v>14</v>
      </c>
      <c r="O38" s="24">
        <f t="shared" si="17"/>
        <v>15</v>
      </c>
      <c r="P38" s="24">
        <f t="shared" si="17"/>
        <v>16</v>
      </c>
      <c r="Q38" s="24">
        <f t="shared" si="17"/>
        <v>17</v>
      </c>
      <c r="R38" s="24">
        <f t="shared" si="17"/>
        <v>18</v>
      </c>
      <c r="S38" s="24">
        <f t="shared" si="17"/>
        <v>19</v>
      </c>
    </row>
    <row r="39" spans="1:20" ht="18" customHeight="1">
      <c r="A39" s="53" t="s">
        <v>22</v>
      </c>
      <c r="B39" s="53" t="s">
        <v>98</v>
      </c>
      <c r="C39" s="61" t="s">
        <v>100</v>
      </c>
      <c r="D39" s="17" t="s">
        <v>2</v>
      </c>
      <c r="E39" s="21"/>
      <c r="F39" s="21"/>
      <c r="G39" s="21" t="s">
        <v>123</v>
      </c>
      <c r="H39" s="13">
        <f t="shared" si="2"/>
        <v>572618.831</v>
      </c>
      <c r="I39" s="23">
        <f aca="true" t="shared" si="18" ref="I39:N39">SUM(I40:I44)</f>
        <v>36745.5</v>
      </c>
      <c r="J39" s="23">
        <f t="shared" si="18"/>
        <v>36248</v>
      </c>
      <c r="K39" s="23">
        <f t="shared" si="18"/>
        <v>40042.9</v>
      </c>
      <c r="L39" s="23">
        <f t="shared" si="18"/>
        <v>44740.4</v>
      </c>
      <c r="M39" s="13">
        <f>SUM(M40:M44)</f>
        <v>49608.094</v>
      </c>
      <c r="N39" s="13">
        <f t="shared" si="18"/>
        <v>52497.024</v>
      </c>
      <c r="O39" s="13">
        <f>SUM(O40:O44)</f>
        <v>56076.303</v>
      </c>
      <c r="P39" s="13">
        <f>SUM(P40:P44)</f>
        <v>59891.21</v>
      </c>
      <c r="Q39" s="13">
        <f>SUM(Q40:Q44)</f>
        <v>63034.8</v>
      </c>
      <c r="R39" s="13">
        <f>SUM(R40:R44)</f>
        <v>65556.2</v>
      </c>
      <c r="S39" s="13">
        <f>SUM(S40:S44)</f>
        <v>68178.4</v>
      </c>
      <c r="T39" s="33">
        <f>N39+N68</f>
        <v>241918.592</v>
      </c>
    </row>
    <row r="40" spans="1:19" ht="77.25" customHeight="1">
      <c r="A40" s="53"/>
      <c r="B40" s="53"/>
      <c r="C40" s="61"/>
      <c r="D40" s="34" t="s">
        <v>11</v>
      </c>
      <c r="E40" s="20"/>
      <c r="F40" s="20"/>
      <c r="G40" s="20"/>
      <c r="H40" s="13">
        <f t="shared" si="2"/>
        <v>0</v>
      </c>
      <c r="I40" s="23"/>
      <c r="J40" s="23"/>
      <c r="K40" s="23"/>
      <c r="L40" s="23"/>
      <c r="M40" s="13"/>
      <c r="N40" s="13"/>
      <c r="O40" s="13"/>
      <c r="P40" s="13"/>
      <c r="Q40" s="13"/>
      <c r="R40" s="13"/>
      <c r="S40" s="13"/>
    </row>
    <row r="41" spans="1:19" ht="103.5" customHeight="1">
      <c r="A41" s="53"/>
      <c r="B41" s="53"/>
      <c r="C41" s="61"/>
      <c r="D41" s="34" t="s">
        <v>20</v>
      </c>
      <c r="E41" s="21" t="s">
        <v>104</v>
      </c>
      <c r="F41" s="21" t="s">
        <v>121</v>
      </c>
      <c r="G41" s="21" t="s">
        <v>123</v>
      </c>
      <c r="H41" s="13">
        <f t="shared" si="2"/>
        <v>572618.831</v>
      </c>
      <c r="I41" s="23">
        <f>36750.9-5.4</f>
        <v>36745.5</v>
      </c>
      <c r="J41" s="23">
        <v>36248</v>
      </c>
      <c r="K41" s="23">
        <v>40042.9</v>
      </c>
      <c r="L41" s="23">
        <v>44740.4</v>
      </c>
      <c r="M41" s="13">
        <v>49608.094</v>
      </c>
      <c r="N41" s="13">
        <v>52497.024</v>
      </c>
      <c r="O41" s="13">
        <v>56076.303</v>
      </c>
      <c r="P41" s="13">
        <v>59891.21</v>
      </c>
      <c r="Q41" s="13">
        <v>63034.8</v>
      </c>
      <c r="R41" s="13">
        <v>65556.2</v>
      </c>
      <c r="S41" s="13">
        <v>68178.4</v>
      </c>
    </row>
    <row r="42" spans="1:19" ht="64.5" customHeight="1">
      <c r="A42" s="53"/>
      <c r="B42" s="53"/>
      <c r="C42" s="61"/>
      <c r="D42" s="34" t="s">
        <v>12</v>
      </c>
      <c r="E42" s="20"/>
      <c r="F42" s="20"/>
      <c r="G42" s="20"/>
      <c r="H42" s="13">
        <f t="shared" si="2"/>
        <v>0</v>
      </c>
      <c r="I42" s="23"/>
      <c r="J42" s="23"/>
      <c r="K42" s="23"/>
      <c r="L42" s="23"/>
      <c r="M42" s="13"/>
      <c r="N42" s="13"/>
      <c r="O42" s="13"/>
      <c r="P42" s="13"/>
      <c r="Q42" s="13"/>
      <c r="R42" s="13"/>
      <c r="S42" s="13"/>
    </row>
    <row r="43" spans="1:19" ht="64.5" customHeight="1">
      <c r="A43" s="53"/>
      <c r="B43" s="53"/>
      <c r="C43" s="61"/>
      <c r="D43" s="34" t="s">
        <v>14</v>
      </c>
      <c r="E43" s="20"/>
      <c r="F43" s="20"/>
      <c r="G43" s="20"/>
      <c r="H43" s="13">
        <f t="shared" si="2"/>
        <v>0</v>
      </c>
      <c r="I43" s="23"/>
      <c r="J43" s="23"/>
      <c r="K43" s="23"/>
      <c r="L43" s="23"/>
      <c r="M43" s="13"/>
      <c r="N43" s="13"/>
      <c r="O43" s="13"/>
      <c r="P43" s="13"/>
      <c r="Q43" s="13"/>
      <c r="R43" s="13"/>
      <c r="S43" s="13"/>
    </row>
    <row r="44" spans="1:19" ht="63" customHeight="1">
      <c r="A44" s="53"/>
      <c r="B44" s="53"/>
      <c r="C44" s="61"/>
      <c r="D44" s="34" t="s">
        <v>13</v>
      </c>
      <c r="E44" s="20"/>
      <c r="F44" s="20"/>
      <c r="G44" s="20"/>
      <c r="H44" s="13">
        <f t="shared" si="2"/>
        <v>0</v>
      </c>
      <c r="I44" s="23"/>
      <c r="J44" s="23"/>
      <c r="K44" s="23"/>
      <c r="L44" s="23"/>
      <c r="M44" s="13"/>
      <c r="N44" s="13"/>
      <c r="O44" s="13"/>
      <c r="P44" s="13"/>
      <c r="Q44" s="13"/>
      <c r="R44" s="13"/>
      <c r="S44" s="13"/>
    </row>
    <row r="45" spans="1:19" ht="15" customHeight="1">
      <c r="A45" s="53" t="s">
        <v>24</v>
      </c>
      <c r="B45" s="53" t="s">
        <v>23</v>
      </c>
      <c r="C45" s="61" t="s">
        <v>100</v>
      </c>
      <c r="D45" s="17" t="s">
        <v>2</v>
      </c>
      <c r="E45" s="21"/>
      <c r="F45" s="21"/>
      <c r="G45" s="21" t="s">
        <v>126</v>
      </c>
      <c r="H45" s="13">
        <f t="shared" si="2"/>
        <v>1627.175</v>
      </c>
      <c r="I45" s="23">
        <f aca="true" t="shared" si="19" ref="I45:N45">SUM(I46:I50)</f>
        <v>830.6</v>
      </c>
      <c r="J45" s="23">
        <f t="shared" si="19"/>
        <v>252.10000000000002</v>
      </c>
      <c r="K45" s="23">
        <f t="shared" si="19"/>
        <v>284</v>
      </c>
      <c r="L45" s="23">
        <f t="shared" si="19"/>
        <v>245.6</v>
      </c>
      <c r="M45" s="13">
        <f>SUM(M46:M50)</f>
        <v>14.875</v>
      </c>
      <c r="N45" s="13">
        <f t="shared" si="19"/>
        <v>0</v>
      </c>
      <c r="O45" s="13">
        <f>SUM(O46:O50)</f>
        <v>0</v>
      </c>
      <c r="P45" s="13">
        <f>SUM(P46:P50)</f>
        <v>0</v>
      </c>
      <c r="Q45" s="13">
        <f>SUM(Q46:Q50)</f>
        <v>0</v>
      </c>
      <c r="R45" s="13">
        <f>SUM(R46:R50)</f>
        <v>0</v>
      </c>
      <c r="S45" s="13">
        <f>SUM(S46:S50)</f>
        <v>0</v>
      </c>
    </row>
    <row r="46" spans="1:19" ht="27" customHeight="1">
      <c r="A46" s="53"/>
      <c r="B46" s="53"/>
      <c r="C46" s="61"/>
      <c r="D46" s="34" t="s">
        <v>11</v>
      </c>
      <c r="E46" s="20"/>
      <c r="F46" s="20"/>
      <c r="G46" s="20"/>
      <c r="H46" s="13">
        <f t="shared" si="2"/>
        <v>0</v>
      </c>
      <c r="I46" s="23"/>
      <c r="J46" s="23"/>
      <c r="K46" s="23"/>
      <c r="L46" s="23"/>
      <c r="M46" s="13"/>
      <c r="N46" s="13"/>
      <c r="O46" s="13"/>
      <c r="P46" s="13"/>
      <c r="Q46" s="13"/>
      <c r="R46" s="13"/>
      <c r="S46" s="13"/>
    </row>
    <row r="47" spans="1:19" ht="27" customHeight="1">
      <c r="A47" s="53"/>
      <c r="B47" s="53"/>
      <c r="C47" s="61"/>
      <c r="D47" s="34" t="s">
        <v>20</v>
      </c>
      <c r="E47" s="20"/>
      <c r="F47" s="20"/>
      <c r="G47" s="20"/>
      <c r="H47" s="13">
        <f t="shared" si="2"/>
        <v>0</v>
      </c>
      <c r="I47" s="23"/>
      <c r="J47" s="23"/>
      <c r="K47" s="23"/>
      <c r="L47" s="23"/>
      <c r="M47" s="13"/>
      <c r="N47" s="13"/>
      <c r="O47" s="13"/>
      <c r="P47" s="13"/>
      <c r="Q47" s="13"/>
      <c r="R47" s="13"/>
      <c r="S47" s="13"/>
    </row>
    <row r="48" spans="1:19" ht="27" customHeight="1">
      <c r="A48" s="53"/>
      <c r="B48" s="53"/>
      <c r="C48" s="61"/>
      <c r="D48" s="34" t="s">
        <v>12</v>
      </c>
      <c r="E48" s="21" t="s">
        <v>104</v>
      </c>
      <c r="F48" s="21" t="s">
        <v>124</v>
      </c>
      <c r="G48" s="21" t="s">
        <v>126</v>
      </c>
      <c r="H48" s="13">
        <f t="shared" si="2"/>
        <v>1627.175</v>
      </c>
      <c r="I48" s="23">
        <v>830.6</v>
      </c>
      <c r="J48" s="23">
        <v>252.10000000000002</v>
      </c>
      <c r="K48" s="23">
        <v>284</v>
      </c>
      <c r="L48" s="23">
        <v>245.6</v>
      </c>
      <c r="M48" s="13">
        <v>14.875</v>
      </c>
      <c r="N48" s="13">
        <v>0</v>
      </c>
      <c r="O48" s="13">
        <f>N48</f>
        <v>0</v>
      </c>
      <c r="P48" s="13">
        <v>0</v>
      </c>
      <c r="Q48" s="13">
        <v>0</v>
      </c>
      <c r="R48" s="13">
        <v>0</v>
      </c>
      <c r="S48" s="13">
        <v>0</v>
      </c>
    </row>
    <row r="49" spans="1:19" ht="27" customHeight="1">
      <c r="A49" s="53"/>
      <c r="B49" s="53"/>
      <c r="C49" s="61"/>
      <c r="D49" s="34" t="s">
        <v>14</v>
      </c>
      <c r="E49" s="20"/>
      <c r="F49" s="20"/>
      <c r="G49" s="20"/>
      <c r="H49" s="13">
        <f t="shared" si="2"/>
        <v>0</v>
      </c>
      <c r="I49" s="23"/>
      <c r="J49" s="23"/>
      <c r="K49" s="23"/>
      <c r="L49" s="23"/>
      <c r="M49" s="13"/>
      <c r="N49" s="13"/>
      <c r="O49" s="13"/>
      <c r="P49" s="13"/>
      <c r="Q49" s="13"/>
      <c r="R49" s="13"/>
      <c r="S49" s="13"/>
    </row>
    <row r="50" spans="1:19" ht="27" customHeight="1">
      <c r="A50" s="53"/>
      <c r="B50" s="53"/>
      <c r="C50" s="61"/>
      <c r="D50" s="34" t="s">
        <v>13</v>
      </c>
      <c r="E50" s="20"/>
      <c r="F50" s="20"/>
      <c r="G50" s="20"/>
      <c r="H50" s="13">
        <f t="shared" si="2"/>
        <v>0</v>
      </c>
      <c r="I50" s="23"/>
      <c r="J50" s="23"/>
      <c r="K50" s="23"/>
      <c r="L50" s="23"/>
      <c r="M50" s="13"/>
      <c r="N50" s="13"/>
      <c r="O50" s="13"/>
      <c r="P50" s="13"/>
      <c r="Q50" s="13"/>
      <c r="R50" s="13"/>
      <c r="S50" s="13"/>
    </row>
    <row r="51" spans="1:19" ht="15" customHeight="1">
      <c r="A51" s="9">
        <v>1</v>
      </c>
      <c r="B51" s="9">
        <v>2</v>
      </c>
      <c r="C51" s="9">
        <f aca="true" t="shared" si="20" ref="C51:S51">B51+1</f>
        <v>3</v>
      </c>
      <c r="D51" s="34">
        <f t="shared" si="20"/>
        <v>4</v>
      </c>
      <c r="E51" s="9">
        <f t="shared" si="20"/>
        <v>5</v>
      </c>
      <c r="F51" s="9">
        <f t="shared" si="20"/>
        <v>6</v>
      </c>
      <c r="G51" s="9">
        <f t="shared" si="20"/>
        <v>7</v>
      </c>
      <c r="H51" s="24">
        <f t="shared" si="20"/>
        <v>8</v>
      </c>
      <c r="I51" s="24">
        <f t="shared" si="20"/>
        <v>9</v>
      </c>
      <c r="J51" s="24">
        <f t="shared" si="20"/>
        <v>10</v>
      </c>
      <c r="K51" s="24">
        <f t="shared" si="20"/>
        <v>11</v>
      </c>
      <c r="L51" s="24">
        <f t="shared" si="20"/>
        <v>12</v>
      </c>
      <c r="M51" s="24">
        <f t="shared" si="20"/>
        <v>13</v>
      </c>
      <c r="N51" s="24">
        <f t="shared" si="20"/>
        <v>14</v>
      </c>
      <c r="O51" s="24">
        <f t="shared" si="20"/>
        <v>15</v>
      </c>
      <c r="P51" s="24">
        <f t="shared" si="20"/>
        <v>16</v>
      </c>
      <c r="Q51" s="24">
        <f t="shared" si="20"/>
        <v>17</v>
      </c>
      <c r="R51" s="24">
        <f t="shared" si="20"/>
        <v>18</v>
      </c>
      <c r="S51" s="24">
        <f t="shared" si="20"/>
        <v>19</v>
      </c>
    </row>
    <row r="52" spans="1:19" ht="14.25" customHeight="1">
      <c r="A52" s="53" t="s">
        <v>93</v>
      </c>
      <c r="B52" s="53" t="s">
        <v>78</v>
      </c>
      <c r="C52" s="61" t="s">
        <v>100</v>
      </c>
      <c r="D52" s="17" t="s">
        <v>2</v>
      </c>
      <c r="E52" s="21"/>
      <c r="F52" s="21"/>
      <c r="G52" s="21" t="s">
        <v>125</v>
      </c>
      <c r="H52" s="13">
        <f t="shared" si="2"/>
        <v>145418.58</v>
      </c>
      <c r="I52" s="23">
        <f>SUM(I53:I59)</f>
        <v>9915.2</v>
      </c>
      <c r="J52" s="23">
        <f>SUM(J53:J59)</f>
        <v>11220.5</v>
      </c>
      <c r="K52" s="23">
        <f>SUM(K53:K59)</f>
        <v>11841.1</v>
      </c>
      <c r="L52" s="23">
        <f>SUM(L53:L59)</f>
        <v>12817.2</v>
      </c>
      <c r="M52" s="13">
        <f>SUM(M53:M59)</f>
        <v>11664.053</v>
      </c>
      <c r="N52" s="13">
        <f aca="true" t="shared" si="21" ref="N52:S52">SUM(N53:N59)-N55-N56</f>
        <v>10933.227000000003</v>
      </c>
      <c r="O52" s="13">
        <f t="shared" si="21"/>
        <v>13770.249</v>
      </c>
      <c r="P52" s="13">
        <f t="shared" si="21"/>
        <v>13770.351</v>
      </c>
      <c r="Q52" s="13">
        <f t="shared" si="21"/>
        <v>15853</v>
      </c>
      <c r="R52" s="13">
        <f t="shared" si="21"/>
        <v>16487.1</v>
      </c>
      <c r="S52" s="13">
        <f t="shared" si="21"/>
        <v>17146.6</v>
      </c>
    </row>
    <row r="53" spans="1:19" ht="27" customHeight="1">
      <c r="A53" s="53"/>
      <c r="B53" s="53"/>
      <c r="C53" s="61"/>
      <c r="D53" s="34" t="s">
        <v>11</v>
      </c>
      <c r="E53" s="20"/>
      <c r="F53" s="20"/>
      <c r="G53" s="20"/>
      <c r="H53" s="13">
        <f t="shared" si="2"/>
        <v>0</v>
      </c>
      <c r="I53" s="23"/>
      <c r="J53" s="23"/>
      <c r="K53" s="23"/>
      <c r="L53" s="23"/>
      <c r="M53" s="13"/>
      <c r="N53" s="13"/>
      <c r="O53" s="13"/>
      <c r="P53" s="13"/>
      <c r="Q53" s="13"/>
      <c r="R53" s="13"/>
      <c r="S53" s="13"/>
    </row>
    <row r="54" spans="1:19" ht="14.25" customHeight="1">
      <c r="A54" s="53"/>
      <c r="B54" s="53"/>
      <c r="C54" s="61"/>
      <c r="D54" s="66" t="s">
        <v>20</v>
      </c>
      <c r="E54" s="21" t="s">
        <v>104</v>
      </c>
      <c r="F54" s="21"/>
      <c r="G54" s="21" t="s">
        <v>125</v>
      </c>
      <c r="H54" s="13">
        <f>I54+J54+K54+L54+M54+N54+O54+P54+Q54+R54+S54</f>
        <v>145418.58</v>
      </c>
      <c r="I54" s="23">
        <v>9915.2</v>
      </c>
      <c r="J54" s="23">
        <v>11220.5</v>
      </c>
      <c r="K54" s="23">
        <v>11841.1</v>
      </c>
      <c r="L54" s="23">
        <v>12817.2</v>
      </c>
      <c r="M54" s="13">
        <v>11664.053</v>
      </c>
      <c r="N54" s="13">
        <f aca="true" t="shared" si="22" ref="N54:S54">N55+N56</f>
        <v>10933.227</v>
      </c>
      <c r="O54" s="13">
        <f t="shared" si="22"/>
        <v>13770.249</v>
      </c>
      <c r="P54" s="13">
        <f t="shared" si="22"/>
        <v>13770.351</v>
      </c>
      <c r="Q54" s="13">
        <f t="shared" si="22"/>
        <v>15853</v>
      </c>
      <c r="R54" s="13">
        <f t="shared" si="22"/>
        <v>16487.1</v>
      </c>
      <c r="S54" s="13">
        <f t="shared" si="22"/>
        <v>17146.6</v>
      </c>
    </row>
    <row r="55" spans="1:19" ht="14.25" customHeight="1">
      <c r="A55" s="53"/>
      <c r="B55" s="53"/>
      <c r="C55" s="61"/>
      <c r="D55" s="67"/>
      <c r="E55" s="21" t="s">
        <v>104</v>
      </c>
      <c r="F55" s="21" t="s">
        <v>120</v>
      </c>
      <c r="G55" s="21" t="s">
        <v>125</v>
      </c>
      <c r="H55" s="13">
        <f>I55+J55+K55+L55+M55+N55+O55+P55+Q55+R55+S55</f>
        <v>64.887</v>
      </c>
      <c r="I55" s="23"/>
      <c r="J55" s="23"/>
      <c r="K55" s="23"/>
      <c r="L55" s="23"/>
      <c r="M55" s="13"/>
      <c r="N55" s="13">
        <v>64.887</v>
      </c>
      <c r="O55" s="13"/>
      <c r="P55" s="13"/>
      <c r="Q55" s="13"/>
      <c r="R55" s="13"/>
      <c r="S55" s="13"/>
    </row>
    <row r="56" spans="1:19" ht="14.25" customHeight="1">
      <c r="A56" s="53"/>
      <c r="B56" s="53"/>
      <c r="C56" s="61"/>
      <c r="D56" s="68"/>
      <c r="E56" s="21" t="s">
        <v>104</v>
      </c>
      <c r="F56" s="21" t="s">
        <v>124</v>
      </c>
      <c r="G56" s="21" t="s">
        <v>125</v>
      </c>
      <c r="H56" s="13">
        <f>I56+J56+K56+L56+M56+N56+O56+P56+Q56+R56+S56</f>
        <v>87895.64000000001</v>
      </c>
      <c r="I56" s="46"/>
      <c r="J56" s="46"/>
      <c r="K56" s="46"/>
      <c r="L56" s="46"/>
      <c r="M56" s="46"/>
      <c r="N56" s="47">
        <v>10868.34</v>
      </c>
      <c r="O56" s="47">
        <v>13770.249</v>
      </c>
      <c r="P56" s="47">
        <v>13770.351</v>
      </c>
      <c r="Q56" s="47">
        <v>15853</v>
      </c>
      <c r="R56" s="47">
        <v>16487.1</v>
      </c>
      <c r="S56" s="47">
        <v>17146.6</v>
      </c>
    </row>
    <row r="57" spans="1:19" ht="27" customHeight="1">
      <c r="A57" s="53"/>
      <c r="B57" s="53"/>
      <c r="C57" s="61"/>
      <c r="D57" s="34" t="s">
        <v>12</v>
      </c>
      <c r="E57" s="20"/>
      <c r="F57" s="20"/>
      <c r="G57" s="20"/>
      <c r="H57" s="13">
        <f t="shared" si="2"/>
        <v>0</v>
      </c>
      <c r="I57" s="23"/>
      <c r="J57" s="23"/>
      <c r="K57" s="23"/>
      <c r="L57" s="23"/>
      <c r="M57" s="13"/>
      <c r="N57" s="13"/>
      <c r="O57" s="13"/>
      <c r="P57" s="13"/>
      <c r="Q57" s="13"/>
      <c r="R57" s="13"/>
      <c r="S57" s="13"/>
    </row>
    <row r="58" spans="1:19" ht="27" customHeight="1">
      <c r="A58" s="53"/>
      <c r="B58" s="53"/>
      <c r="C58" s="61"/>
      <c r="D58" s="34" t="s">
        <v>14</v>
      </c>
      <c r="E58" s="20"/>
      <c r="F58" s="20"/>
      <c r="G58" s="20"/>
      <c r="H58" s="13">
        <f t="shared" si="2"/>
        <v>0</v>
      </c>
      <c r="I58" s="23"/>
      <c r="J58" s="23"/>
      <c r="K58" s="23"/>
      <c r="L58" s="23"/>
      <c r="M58" s="13"/>
      <c r="N58" s="13"/>
      <c r="O58" s="13"/>
      <c r="P58" s="13"/>
      <c r="Q58" s="13"/>
      <c r="R58" s="13"/>
      <c r="S58" s="13"/>
    </row>
    <row r="59" spans="1:19" ht="27" customHeight="1">
      <c r="A59" s="53"/>
      <c r="B59" s="53"/>
      <c r="C59" s="61"/>
      <c r="D59" s="34" t="s">
        <v>13</v>
      </c>
      <c r="E59" s="20"/>
      <c r="F59" s="20"/>
      <c r="G59" s="20"/>
      <c r="H59" s="13">
        <f t="shared" si="2"/>
        <v>0</v>
      </c>
      <c r="I59" s="23"/>
      <c r="J59" s="23"/>
      <c r="K59" s="23"/>
      <c r="L59" s="23"/>
      <c r="M59" s="13"/>
      <c r="N59" s="13"/>
      <c r="O59" s="13"/>
      <c r="P59" s="13"/>
      <c r="Q59" s="13"/>
      <c r="R59" s="13"/>
      <c r="S59" s="13"/>
    </row>
    <row r="60" spans="1:22" ht="60" customHeight="1">
      <c r="A60" s="6" t="s">
        <v>25</v>
      </c>
      <c r="B60" s="7" t="s">
        <v>26</v>
      </c>
      <c r="C60" s="7"/>
      <c r="D60" s="17" t="s">
        <v>2</v>
      </c>
      <c r="E60" s="21"/>
      <c r="F60" s="25"/>
      <c r="G60" s="21" t="s">
        <v>108</v>
      </c>
      <c r="H60" s="12">
        <f t="shared" si="2"/>
        <v>3301779.657</v>
      </c>
      <c r="I60" s="22">
        <f>I61+I68+I74</f>
        <v>225762.89999999997</v>
      </c>
      <c r="J60" s="23">
        <f>J61+J68+J74</f>
        <v>233736</v>
      </c>
      <c r="K60" s="23">
        <f>K61+K68+K74</f>
        <v>239176.7</v>
      </c>
      <c r="L60" s="23">
        <f>L61+L68+L74</f>
        <v>282766.2</v>
      </c>
      <c r="M60" s="13">
        <f>M61+M68+M74</f>
        <v>292280.581</v>
      </c>
      <c r="N60" s="13">
        <f aca="true" t="shared" si="23" ref="N60:S60">N61+N68+N74+N83+N89</f>
        <v>318285.64</v>
      </c>
      <c r="O60" s="13">
        <f t="shared" si="23"/>
        <v>338565.17799999996</v>
      </c>
      <c r="P60" s="13">
        <f t="shared" si="23"/>
        <v>353565.65800000005</v>
      </c>
      <c r="Q60" s="13">
        <f t="shared" si="23"/>
        <v>325999.7</v>
      </c>
      <c r="R60" s="13">
        <f t="shared" si="23"/>
        <v>339039.69999999995</v>
      </c>
      <c r="S60" s="13">
        <f t="shared" si="23"/>
        <v>352601.39999999997</v>
      </c>
      <c r="T60" s="8">
        <f>N68+N41</f>
        <v>241918.592</v>
      </c>
      <c r="U60" s="8">
        <f>O68+O41</f>
        <v>258313.34999999998</v>
      </c>
      <c r="V60" s="8">
        <f>P68+P41</f>
        <v>275260.901</v>
      </c>
    </row>
    <row r="61" spans="1:19" ht="15" customHeight="1">
      <c r="A61" s="53" t="s">
        <v>27</v>
      </c>
      <c r="B61" s="53" t="s">
        <v>161</v>
      </c>
      <c r="C61" s="61" t="s">
        <v>100</v>
      </c>
      <c r="D61" s="17" t="s">
        <v>2</v>
      </c>
      <c r="E61" s="21"/>
      <c r="F61" s="25"/>
      <c r="G61" s="21" t="s">
        <v>166</v>
      </c>
      <c r="H61" s="12">
        <f t="shared" si="2"/>
        <v>1162104.7130000002</v>
      </c>
      <c r="I61" s="23">
        <f>SUM(I62:I66)</f>
        <v>77221.2</v>
      </c>
      <c r="J61" s="23">
        <f>SUM(J62:J66)</f>
        <v>89061.90000000001</v>
      </c>
      <c r="K61" s="23">
        <f>SUM(K62:K66)</f>
        <v>88846.6</v>
      </c>
      <c r="L61" s="23">
        <f>SUM(L62:L66)</f>
        <v>118660.6</v>
      </c>
      <c r="M61" s="13">
        <f>SUM(M62:M66)</f>
        <v>116174.24100000001</v>
      </c>
      <c r="N61" s="13">
        <f>117804.05-237.6+157.833+76.456+0.001</f>
        <v>117800.74</v>
      </c>
      <c r="O61" s="14">
        <f>109424.164+88.334</f>
        <v>109512.498</v>
      </c>
      <c r="P61" s="12">
        <f>111291.999+88.335</f>
        <v>111380.334</v>
      </c>
      <c r="Q61" s="14">
        <f>SUM(Q62:Q66)</f>
        <v>106819.09999999999</v>
      </c>
      <c r="R61" s="14">
        <f>SUM(R62:R66)</f>
        <v>111091.9</v>
      </c>
      <c r="S61" s="14">
        <f>SUM(S62:S66)</f>
        <v>115535.59999999999</v>
      </c>
    </row>
    <row r="62" spans="1:19" ht="27" customHeight="1">
      <c r="A62" s="53"/>
      <c r="B62" s="53"/>
      <c r="C62" s="61"/>
      <c r="D62" s="34" t="s">
        <v>11</v>
      </c>
      <c r="E62" s="20"/>
      <c r="F62" s="20"/>
      <c r="G62" s="20"/>
      <c r="H62" s="13">
        <f t="shared" si="2"/>
        <v>0</v>
      </c>
      <c r="I62" s="26"/>
      <c r="J62" s="26"/>
      <c r="K62" s="26"/>
      <c r="L62" s="26"/>
      <c r="M62" s="15"/>
      <c r="N62" s="15"/>
      <c r="O62" s="15"/>
      <c r="P62" s="15"/>
      <c r="Q62" s="15"/>
      <c r="R62" s="15"/>
      <c r="S62" s="15"/>
    </row>
    <row r="63" spans="1:19" ht="27" customHeight="1">
      <c r="A63" s="53"/>
      <c r="B63" s="53"/>
      <c r="C63" s="61"/>
      <c r="D63" s="34" t="s">
        <v>20</v>
      </c>
      <c r="E63" s="21" t="s">
        <v>104</v>
      </c>
      <c r="F63" s="21" t="s">
        <v>127</v>
      </c>
      <c r="G63" s="21" t="s">
        <v>166</v>
      </c>
      <c r="H63" s="13">
        <f t="shared" si="2"/>
        <v>650439.6000000001</v>
      </c>
      <c r="I63" s="26"/>
      <c r="J63" s="26"/>
      <c r="K63" s="26"/>
      <c r="L63" s="26"/>
      <c r="M63" s="13">
        <v>84823.5</v>
      </c>
      <c r="N63" s="15">
        <v>94486</v>
      </c>
      <c r="O63" s="27">
        <v>100452</v>
      </c>
      <c r="P63" s="27">
        <v>104921</v>
      </c>
      <c r="Q63" s="13">
        <v>85134.9</v>
      </c>
      <c r="R63" s="13">
        <v>88540.3</v>
      </c>
      <c r="S63" s="13">
        <v>92081.9</v>
      </c>
    </row>
    <row r="64" spans="1:19" ht="27" customHeight="1">
      <c r="A64" s="53"/>
      <c r="B64" s="53"/>
      <c r="C64" s="61"/>
      <c r="D64" s="34" t="s">
        <v>12</v>
      </c>
      <c r="E64" s="21" t="s">
        <v>104</v>
      </c>
      <c r="F64" s="21" t="s">
        <v>127</v>
      </c>
      <c r="G64" s="21" t="s">
        <v>166</v>
      </c>
      <c r="H64" s="13">
        <f t="shared" si="2"/>
        <v>511665.113</v>
      </c>
      <c r="I64" s="26">
        <v>77221.2</v>
      </c>
      <c r="J64" s="26">
        <v>89061.90000000001</v>
      </c>
      <c r="K64" s="26">
        <v>88846.6</v>
      </c>
      <c r="L64" s="26">
        <v>118660.6</v>
      </c>
      <c r="M64" s="13">
        <v>31350.741</v>
      </c>
      <c r="N64" s="15">
        <f>N61-N63</f>
        <v>23314.740000000005</v>
      </c>
      <c r="O64" s="15">
        <f>O61-O63</f>
        <v>9060.498000000007</v>
      </c>
      <c r="P64" s="15">
        <f>P61-P63</f>
        <v>6459.334000000003</v>
      </c>
      <c r="Q64" s="13">
        <v>21684.2</v>
      </c>
      <c r="R64" s="13">
        <v>22551.6</v>
      </c>
      <c r="S64" s="13">
        <v>23453.7</v>
      </c>
    </row>
    <row r="65" spans="1:19" ht="27" customHeight="1">
      <c r="A65" s="53"/>
      <c r="B65" s="53"/>
      <c r="C65" s="61"/>
      <c r="D65" s="34" t="s">
        <v>14</v>
      </c>
      <c r="E65" s="20"/>
      <c r="F65" s="20"/>
      <c r="G65" s="20"/>
      <c r="H65" s="13">
        <f t="shared" si="2"/>
        <v>0</v>
      </c>
      <c r="I65" s="26"/>
      <c r="J65" s="26"/>
      <c r="K65" s="26"/>
      <c r="L65" s="26"/>
      <c r="M65" s="15"/>
      <c r="N65" s="15"/>
      <c r="O65" s="15"/>
      <c r="P65" s="15"/>
      <c r="Q65" s="15"/>
      <c r="R65" s="15"/>
      <c r="S65" s="15"/>
    </row>
    <row r="66" spans="1:19" ht="30.75" customHeight="1">
      <c r="A66" s="53"/>
      <c r="B66" s="53"/>
      <c r="C66" s="61"/>
      <c r="D66" s="34" t="s">
        <v>13</v>
      </c>
      <c r="E66" s="20"/>
      <c r="F66" s="20"/>
      <c r="G66" s="20"/>
      <c r="H66" s="13">
        <f t="shared" si="2"/>
        <v>0</v>
      </c>
      <c r="I66" s="26"/>
      <c r="J66" s="26"/>
      <c r="K66" s="26"/>
      <c r="L66" s="26"/>
      <c r="M66" s="15"/>
      <c r="N66" s="15"/>
      <c r="O66" s="15"/>
      <c r="P66" s="15"/>
      <c r="Q66" s="15"/>
      <c r="R66" s="15"/>
      <c r="S66" s="15"/>
    </row>
    <row r="67" spans="1:19" ht="15" customHeight="1">
      <c r="A67" s="9">
        <v>1</v>
      </c>
      <c r="B67" s="9">
        <v>2</v>
      </c>
      <c r="C67" s="9">
        <f aca="true" t="shared" si="24" ref="C67:S67">B67+1</f>
        <v>3</v>
      </c>
      <c r="D67" s="34">
        <f t="shared" si="24"/>
        <v>4</v>
      </c>
      <c r="E67" s="9">
        <f t="shared" si="24"/>
        <v>5</v>
      </c>
      <c r="F67" s="9">
        <f t="shared" si="24"/>
        <v>6</v>
      </c>
      <c r="G67" s="9">
        <f t="shared" si="24"/>
        <v>7</v>
      </c>
      <c r="H67" s="24">
        <f t="shared" si="24"/>
        <v>8</v>
      </c>
      <c r="I67" s="24">
        <f t="shared" si="24"/>
        <v>9</v>
      </c>
      <c r="J67" s="24">
        <f t="shared" si="24"/>
        <v>10</v>
      </c>
      <c r="K67" s="24">
        <f t="shared" si="24"/>
        <v>11</v>
      </c>
      <c r="L67" s="24">
        <f t="shared" si="24"/>
        <v>12</v>
      </c>
      <c r="M67" s="24">
        <f t="shared" si="24"/>
        <v>13</v>
      </c>
      <c r="N67" s="24">
        <f t="shared" si="24"/>
        <v>14</v>
      </c>
      <c r="O67" s="24">
        <f t="shared" si="24"/>
        <v>15</v>
      </c>
      <c r="P67" s="24">
        <f t="shared" si="24"/>
        <v>16</v>
      </c>
      <c r="Q67" s="24">
        <f t="shared" si="24"/>
        <v>17</v>
      </c>
      <c r="R67" s="24">
        <f t="shared" si="24"/>
        <v>18</v>
      </c>
      <c r="S67" s="24">
        <f t="shared" si="24"/>
        <v>19</v>
      </c>
    </row>
    <row r="68" spans="1:19" ht="67.5" customHeight="1">
      <c r="A68" s="53" t="s">
        <v>28</v>
      </c>
      <c r="B68" s="53" t="s">
        <v>98</v>
      </c>
      <c r="C68" s="61" t="s">
        <v>100</v>
      </c>
      <c r="D68" s="17" t="s">
        <v>2</v>
      </c>
      <c r="E68" s="21"/>
      <c r="F68" s="25"/>
      <c r="G68" s="21" t="s">
        <v>128</v>
      </c>
      <c r="H68" s="12">
        <f t="shared" si="2"/>
        <v>2073258.094</v>
      </c>
      <c r="I68" s="22">
        <f>SUM(I69:I73)</f>
        <v>148541.69999999998</v>
      </c>
      <c r="J68" s="23">
        <f>SUM(J69:J73)</f>
        <v>144674.1</v>
      </c>
      <c r="K68" s="23">
        <f>SUM(K69:K73)</f>
        <v>150330.1</v>
      </c>
      <c r="L68" s="23">
        <f>SUM(L69:L73)</f>
        <v>164105.6</v>
      </c>
      <c r="M68" s="13">
        <f>SUM(M69:M73)</f>
        <v>174384.088</v>
      </c>
      <c r="N68" s="13">
        <f aca="true" t="shared" si="25" ref="N68:S68">SUM(N69:N73)</f>
        <v>189421.568</v>
      </c>
      <c r="O68" s="14">
        <f>SUM(O69:O73)</f>
        <v>202237.047</v>
      </c>
      <c r="P68" s="12">
        <f>SUM(P69:P73)</f>
        <v>215369.691</v>
      </c>
      <c r="Q68" s="14">
        <f>SUM(Q69:Q73)</f>
        <v>219180.6</v>
      </c>
      <c r="R68" s="14">
        <f t="shared" si="25"/>
        <v>227947.8</v>
      </c>
      <c r="S68" s="14">
        <f t="shared" si="25"/>
        <v>237065.8</v>
      </c>
    </row>
    <row r="69" spans="1:19" ht="67.5" customHeight="1">
      <c r="A69" s="53"/>
      <c r="B69" s="53"/>
      <c r="C69" s="61"/>
      <c r="D69" s="34" t="s">
        <v>11</v>
      </c>
      <c r="E69" s="20"/>
      <c r="F69" s="20"/>
      <c r="G69" s="20"/>
      <c r="H69" s="13">
        <f t="shared" si="2"/>
        <v>0</v>
      </c>
      <c r="I69" s="28"/>
      <c r="J69" s="26"/>
      <c r="K69" s="26"/>
      <c r="L69" s="26"/>
      <c r="M69" s="15"/>
      <c r="N69" s="15"/>
      <c r="O69" s="27"/>
      <c r="P69" s="29"/>
      <c r="Q69" s="27"/>
      <c r="R69" s="27"/>
      <c r="S69" s="27"/>
    </row>
    <row r="70" spans="1:19" ht="67.5" customHeight="1">
      <c r="A70" s="53"/>
      <c r="B70" s="53"/>
      <c r="C70" s="61"/>
      <c r="D70" s="34" t="s">
        <v>20</v>
      </c>
      <c r="E70" s="21" t="s">
        <v>104</v>
      </c>
      <c r="F70" s="21" t="s">
        <v>127</v>
      </c>
      <c r="G70" s="21" t="s">
        <v>128</v>
      </c>
      <c r="H70" s="12">
        <f t="shared" si="2"/>
        <v>2073258.094</v>
      </c>
      <c r="I70" s="28">
        <f>148536.3+5.4</f>
        <v>148541.69999999998</v>
      </c>
      <c r="J70" s="26">
        <v>144674.1</v>
      </c>
      <c r="K70" s="26">
        <v>150330.1</v>
      </c>
      <c r="L70" s="23">
        <v>164105.6</v>
      </c>
      <c r="M70" s="13">
        <v>174384.088</v>
      </c>
      <c r="N70" s="13">
        <v>189421.568</v>
      </c>
      <c r="O70" s="14">
        <v>202237.047</v>
      </c>
      <c r="P70" s="12">
        <v>215369.691</v>
      </c>
      <c r="Q70" s="14">
        <v>219180.6</v>
      </c>
      <c r="R70" s="14">
        <v>227947.8</v>
      </c>
      <c r="S70" s="14">
        <v>237065.8</v>
      </c>
    </row>
    <row r="71" spans="1:19" ht="67.5" customHeight="1">
      <c r="A71" s="53"/>
      <c r="B71" s="53"/>
      <c r="C71" s="61"/>
      <c r="D71" s="34" t="s">
        <v>12</v>
      </c>
      <c r="E71" s="20"/>
      <c r="F71" s="20"/>
      <c r="G71" s="20"/>
      <c r="H71" s="13">
        <f t="shared" si="2"/>
        <v>0</v>
      </c>
      <c r="I71" s="26"/>
      <c r="J71" s="26"/>
      <c r="K71" s="26"/>
      <c r="L71" s="26"/>
      <c r="M71" s="15"/>
      <c r="N71" s="15"/>
      <c r="O71" s="15"/>
      <c r="P71" s="15"/>
      <c r="Q71" s="15"/>
      <c r="R71" s="15"/>
      <c r="S71" s="15"/>
    </row>
    <row r="72" spans="1:19" ht="68.25" customHeight="1">
      <c r="A72" s="53"/>
      <c r="B72" s="53"/>
      <c r="C72" s="61"/>
      <c r="D72" s="34" t="s">
        <v>14</v>
      </c>
      <c r="E72" s="20"/>
      <c r="F72" s="20"/>
      <c r="G72" s="20"/>
      <c r="H72" s="13">
        <f t="shared" si="2"/>
        <v>0</v>
      </c>
      <c r="I72" s="26"/>
      <c r="J72" s="26"/>
      <c r="K72" s="26"/>
      <c r="L72" s="26"/>
      <c r="M72" s="15"/>
      <c r="N72" s="15"/>
      <c r="O72" s="15"/>
      <c r="P72" s="15"/>
      <c r="Q72" s="15"/>
      <c r="R72" s="15"/>
      <c r="S72" s="15"/>
    </row>
    <row r="73" spans="1:19" ht="38.25" customHeight="1">
      <c r="A73" s="53"/>
      <c r="B73" s="53"/>
      <c r="C73" s="61"/>
      <c r="D73" s="34" t="s">
        <v>13</v>
      </c>
      <c r="E73" s="20"/>
      <c r="F73" s="20"/>
      <c r="G73" s="20"/>
      <c r="H73" s="13">
        <f t="shared" si="2"/>
        <v>0</v>
      </c>
      <c r="I73" s="26"/>
      <c r="J73" s="26"/>
      <c r="K73" s="26"/>
      <c r="L73" s="26"/>
      <c r="M73" s="15"/>
      <c r="N73" s="15"/>
      <c r="O73" s="15"/>
      <c r="P73" s="15"/>
      <c r="Q73" s="15"/>
      <c r="R73" s="15"/>
      <c r="S73" s="15"/>
    </row>
    <row r="74" spans="1:19" ht="30" customHeight="1">
      <c r="A74" s="53" t="s">
        <v>175</v>
      </c>
      <c r="B74" s="53" t="s">
        <v>176</v>
      </c>
      <c r="C74" s="61" t="s">
        <v>100</v>
      </c>
      <c r="D74" s="17" t="s">
        <v>2</v>
      </c>
      <c r="E74" s="21"/>
      <c r="F74" s="25"/>
      <c r="G74" s="21" t="s">
        <v>177</v>
      </c>
      <c r="H74" s="13">
        <f>I74+J74+K74+L74+M74+N74+O74+P74+Q74+R74+S74</f>
        <v>16046.325</v>
      </c>
      <c r="I74" s="23">
        <f>SUM(I75:I81)</f>
        <v>0</v>
      </c>
      <c r="J74" s="23">
        <f>SUM(J75:J81)</f>
        <v>0</v>
      </c>
      <c r="K74" s="23">
        <f>SUM(K75:K81)</f>
        <v>0</v>
      </c>
      <c r="L74" s="23">
        <f>SUM(L75:L81)</f>
        <v>0</v>
      </c>
      <c r="M74" s="13">
        <f aca="true" t="shared" si="26" ref="M74:S74">M76+M75+M79+M80+M81</f>
        <v>1722.252</v>
      </c>
      <c r="N74" s="13">
        <f t="shared" si="26"/>
        <v>3867.543</v>
      </c>
      <c r="O74" s="13">
        <f>O76+O75+O79+O80+O81</f>
        <v>5228.265</v>
      </c>
      <c r="P74" s="13">
        <f t="shared" si="26"/>
        <v>5228.265</v>
      </c>
      <c r="Q74" s="13">
        <f t="shared" si="26"/>
        <v>0</v>
      </c>
      <c r="R74" s="13">
        <f t="shared" si="26"/>
        <v>0</v>
      </c>
      <c r="S74" s="13">
        <f t="shared" si="26"/>
        <v>0</v>
      </c>
    </row>
    <row r="75" spans="1:19" ht="30" customHeight="1">
      <c r="A75" s="53"/>
      <c r="B75" s="53"/>
      <c r="C75" s="61"/>
      <c r="D75" s="34" t="s">
        <v>11</v>
      </c>
      <c r="E75" s="20"/>
      <c r="F75" s="20"/>
      <c r="G75" s="20"/>
      <c r="H75" s="13">
        <f>I75+J75+K75+L75+M75+N75+O75+P75+Q75+R75+S75</f>
        <v>0</v>
      </c>
      <c r="I75" s="26"/>
      <c r="J75" s="26"/>
      <c r="K75" s="26"/>
      <c r="L75" s="26"/>
      <c r="M75" s="15"/>
      <c r="N75" s="15"/>
      <c r="O75" s="15"/>
      <c r="P75" s="15"/>
      <c r="Q75" s="15"/>
      <c r="R75" s="15"/>
      <c r="S75" s="15"/>
    </row>
    <row r="76" spans="1:19" ht="15" customHeight="1">
      <c r="A76" s="53"/>
      <c r="B76" s="53"/>
      <c r="C76" s="61"/>
      <c r="D76" s="62" t="s">
        <v>20</v>
      </c>
      <c r="E76" s="21"/>
      <c r="F76" s="21"/>
      <c r="G76" s="21" t="s">
        <v>177</v>
      </c>
      <c r="H76" s="13">
        <f>I76+J76+K76+L76+M76+N76+O76+P76+Q76+R76+S76</f>
        <v>16046.325</v>
      </c>
      <c r="I76" s="26"/>
      <c r="J76" s="26"/>
      <c r="K76" s="26"/>
      <c r="L76" s="23"/>
      <c r="M76" s="13">
        <v>1722.252</v>
      </c>
      <c r="N76" s="13">
        <f>N77+N78</f>
        <v>3867.543</v>
      </c>
      <c r="O76" s="13">
        <f>4182.6+1045.7-0.035</f>
        <v>5228.265</v>
      </c>
      <c r="P76" s="13">
        <f>4182.6+1045.7-0.035</f>
        <v>5228.265</v>
      </c>
      <c r="Q76" s="13"/>
      <c r="R76" s="13"/>
      <c r="S76" s="13"/>
    </row>
    <row r="77" spans="1:19" ht="15" customHeight="1">
      <c r="A77" s="53"/>
      <c r="B77" s="53"/>
      <c r="C77" s="61"/>
      <c r="D77" s="62"/>
      <c r="E77" s="21" t="s">
        <v>104</v>
      </c>
      <c r="F77" s="21" t="s">
        <v>127</v>
      </c>
      <c r="G77" s="21" t="s">
        <v>177</v>
      </c>
      <c r="H77" s="13">
        <f>I77+J77+K77+L77+M77+N77+O77+P77+Q77+R77+S77</f>
        <v>15903.197</v>
      </c>
      <c r="I77" s="26"/>
      <c r="J77" s="26"/>
      <c r="K77" s="26"/>
      <c r="L77" s="23"/>
      <c r="M77" s="13">
        <v>1722.252</v>
      </c>
      <c r="N77" s="13">
        <f>3867.543-N78</f>
        <v>3828.905</v>
      </c>
      <c r="O77" s="13">
        <f>4182.6+1045.7-0.035-O78</f>
        <v>5176.02</v>
      </c>
      <c r="P77" s="13">
        <f>4182.6+1045.7-0.035-P78</f>
        <v>5176.02</v>
      </c>
      <c r="Q77" s="13"/>
      <c r="R77" s="13"/>
      <c r="S77" s="13"/>
    </row>
    <row r="78" spans="1:19" ht="15" customHeight="1">
      <c r="A78" s="53"/>
      <c r="B78" s="53"/>
      <c r="C78" s="61"/>
      <c r="D78" s="62"/>
      <c r="E78" s="21" t="s">
        <v>104</v>
      </c>
      <c r="F78" s="21" t="s">
        <v>120</v>
      </c>
      <c r="G78" s="21" t="s">
        <v>177</v>
      </c>
      <c r="H78" s="13">
        <f>I78+J78+K78+L78+M78+N78+O78+P78+Q78+R78+S78</f>
        <v>143.128</v>
      </c>
      <c r="I78" s="26"/>
      <c r="J78" s="26"/>
      <c r="K78" s="26"/>
      <c r="L78" s="23"/>
      <c r="M78" s="13"/>
      <c r="N78" s="13">
        <v>38.638</v>
      </c>
      <c r="O78" s="13">
        <v>52.245</v>
      </c>
      <c r="P78" s="13">
        <v>52.245</v>
      </c>
      <c r="Q78" s="13"/>
      <c r="R78" s="13"/>
      <c r="S78" s="13"/>
    </row>
    <row r="79" spans="1:19" ht="30" customHeight="1">
      <c r="A79" s="53"/>
      <c r="B79" s="53"/>
      <c r="C79" s="61"/>
      <c r="D79" s="34" t="s">
        <v>12</v>
      </c>
      <c r="E79" s="20"/>
      <c r="F79" s="20"/>
      <c r="G79" s="20"/>
      <c r="H79" s="13">
        <f t="shared" si="2"/>
        <v>0</v>
      </c>
      <c r="I79" s="26"/>
      <c r="J79" s="26"/>
      <c r="K79" s="26"/>
      <c r="L79" s="26"/>
      <c r="M79" s="15"/>
      <c r="N79" s="15"/>
      <c r="O79" s="15"/>
      <c r="P79" s="15"/>
      <c r="Q79" s="15"/>
      <c r="R79" s="15"/>
      <c r="S79" s="15"/>
    </row>
    <row r="80" spans="1:19" ht="30" customHeight="1">
      <c r="A80" s="53"/>
      <c r="B80" s="53"/>
      <c r="C80" s="61"/>
      <c r="D80" s="34" t="s">
        <v>14</v>
      </c>
      <c r="E80" s="20"/>
      <c r="F80" s="20"/>
      <c r="G80" s="20"/>
      <c r="H80" s="13">
        <f t="shared" si="2"/>
        <v>0</v>
      </c>
      <c r="I80" s="26"/>
      <c r="J80" s="26"/>
      <c r="K80" s="26"/>
      <c r="L80" s="26"/>
      <c r="M80" s="15"/>
      <c r="N80" s="15"/>
      <c r="O80" s="15"/>
      <c r="P80" s="15"/>
      <c r="Q80" s="15"/>
      <c r="R80" s="15"/>
      <c r="S80" s="15"/>
    </row>
    <row r="81" spans="1:19" ht="28.5" customHeight="1">
      <c r="A81" s="53"/>
      <c r="B81" s="53"/>
      <c r="C81" s="61"/>
      <c r="D81" s="34" t="s">
        <v>13</v>
      </c>
      <c r="E81" s="20"/>
      <c r="F81" s="20"/>
      <c r="G81" s="20"/>
      <c r="H81" s="13">
        <f t="shared" si="2"/>
        <v>0</v>
      </c>
      <c r="I81" s="26"/>
      <c r="J81" s="26"/>
      <c r="K81" s="26"/>
      <c r="L81" s="26"/>
      <c r="M81" s="15"/>
      <c r="N81" s="15"/>
      <c r="O81" s="15"/>
      <c r="P81" s="15"/>
      <c r="Q81" s="15"/>
      <c r="R81" s="15"/>
      <c r="S81" s="15"/>
    </row>
    <row r="82" spans="1:19" ht="14.25" customHeight="1">
      <c r="A82" s="9">
        <v>1</v>
      </c>
      <c r="B82" s="9">
        <v>2</v>
      </c>
      <c r="C82" s="9">
        <f aca="true" t="shared" si="27" ref="C82:S82">B82+1</f>
        <v>3</v>
      </c>
      <c r="D82" s="34">
        <f t="shared" si="27"/>
        <v>4</v>
      </c>
      <c r="E82" s="9">
        <f t="shared" si="27"/>
        <v>5</v>
      </c>
      <c r="F82" s="9">
        <f t="shared" si="27"/>
        <v>6</v>
      </c>
      <c r="G82" s="9">
        <f t="shared" si="27"/>
        <v>7</v>
      </c>
      <c r="H82" s="24">
        <f t="shared" si="27"/>
        <v>8</v>
      </c>
      <c r="I82" s="24">
        <f t="shared" si="27"/>
        <v>9</v>
      </c>
      <c r="J82" s="24">
        <f t="shared" si="27"/>
        <v>10</v>
      </c>
      <c r="K82" s="24">
        <f t="shared" si="27"/>
        <v>11</v>
      </c>
      <c r="L82" s="24">
        <f t="shared" si="27"/>
        <v>12</v>
      </c>
      <c r="M82" s="24">
        <f t="shared" si="27"/>
        <v>13</v>
      </c>
      <c r="N82" s="24">
        <f t="shared" si="27"/>
        <v>14</v>
      </c>
      <c r="O82" s="24">
        <f t="shared" si="27"/>
        <v>15</v>
      </c>
      <c r="P82" s="24">
        <f t="shared" si="27"/>
        <v>16</v>
      </c>
      <c r="Q82" s="24">
        <f t="shared" si="27"/>
        <v>17</v>
      </c>
      <c r="R82" s="24">
        <f t="shared" si="27"/>
        <v>18</v>
      </c>
      <c r="S82" s="24">
        <f t="shared" si="27"/>
        <v>19</v>
      </c>
    </row>
    <row r="83" spans="1:19" s="36" customFormat="1" ht="33.75" customHeight="1">
      <c r="A83" s="53" t="s">
        <v>209</v>
      </c>
      <c r="B83" s="53" t="s">
        <v>214</v>
      </c>
      <c r="C83" s="61" t="s">
        <v>100</v>
      </c>
      <c r="D83" s="37" t="s">
        <v>2</v>
      </c>
      <c r="E83" s="38"/>
      <c r="F83" s="38"/>
      <c r="G83" s="39" t="s">
        <v>212</v>
      </c>
      <c r="H83" s="40">
        <f aca="true" t="shared" si="28" ref="H83:H96">I83+J83+K83+L83+M83+N83+O83+P83+Q83+R83+S83</f>
        <v>46754.82</v>
      </c>
      <c r="I83" s="41">
        <f>SUM(I84:I88)</f>
        <v>0</v>
      </c>
      <c r="J83" s="41">
        <f aca="true" t="shared" si="29" ref="J83:S83">SUM(J84:J88)</f>
        <v>0</v>
      </c>
      <c r="K83" s="41">
        <f t="shared" si="29"/>
        <v>0</v>
      </c>
      <c r="L83" s="41">
        <f t="shared" si="29"/>
        <v>0</v>
      </c>
      <c r="M83" s="41">
        <f t="shared" si="29"/>
        <v>0</v>
      </c>
      <c r="N83" s="13">
        <f t="shared" si="29"/>
        <v>6679.26</v>
      </c>
      <c r="O83" s="40">
        <f t="shared" si="29"/>
        <v>20037.78</v>
      </c>
      <c r="P83" s="40">
        <f t="shared" si="29"/>
        <v>20037.78</v>
      </c>
      <c r="Q83" s="40">
        <f t="shared" si="29"/>
        <v>0</v>
      </c>
      <c r="R83" s="40">
        <f t="shared" si="29"/>
        <v>0</v>
      </c>
      <c r="S83" s="40">
        <f t="shared" si="29"/>
        <v>0</v>
      </c>
    </row>
    <row r="84" spans="1:19" s="36" customFormat="1" ht="33.75" customHeight="1">
      <c r="A84" s="53"/>
      <c r="B84" s="53"/>
      <c r="C84" s="61"/>
      <c r="D84" s="42" t="s">
        <v>11</v>
      </c>
      <c r="E84" s="39" t="s">
        <v>104</v>
      </c>
      <c r="F84" s="39" t="s">
        <v>127</v>
      </c>
      <c r="G84" s="39" t="s">
        <v>212</v>
      </c>
      <c r="H84" s="40">
        <f t="shared" si="28"/>
        <v>46754.82</v>
      </c>
      <c r="I84" s="43"/>
      <c r="J84" s="43"/>
      <c r="K84" s="43"/>
      <c r="L84" s="43"/>
      <c r="M84" s="44"/>
      <c r="N84" s="15">
        <v>6679.26</v>
      </c>
      <c r="O84" s="44">
        <v>20037.78</v>
      </c>
      <c r="P84" s="44">
        <v>20037.78</v>
      </c>
      <c r="Q84" s="44"/>
      <c r="R84" s="44"/>
      <c r="S84" s="44"/>
    </row>
    <row r="85" spans="1:19" s="36" customFormat="1" ht="33.75" customHeight="1">
      <c r="A85" s="53"/>
      <c r="B85" s="53"/>
      <c r="C85" s="61"/>
      <c r="D85" s="42" t="s">
        <v>20</v>
      </c>
      <c r="E85" s="39"/>
      <c r="F85" s="38"/>
      <c r="G85" s="39"/>
      <c r="H85" s="40">
        <f t="shared" si="28"/>
        <v>0</v>
      </c>
      <c r="I85" s="43"/>
      <c r="J85" s="43"/>
      <c r="K85" s="43"/>
      <c r="L85" s="43"/>
      <c r="M85" s="44"/>
      <c r="N85" s="15"/>
      <c r="O85" s="44"/>
      <c r="P85" s="44"/>
      <c r="Q85" s="44"/>
      <c r="R85" s="44"/>
      <c r="S85" s="44"/>
    </row>
    <row r="86" spans="1:19" s="36" customFormat="1" ht="33.75" customHeight="1">
      <c r="A86" s="53"/>
      <c r="B86" s="53"/>
      <c r="C86" s="61"/>
      <c r="D86" s="42" t="s">
        <v>12</v>
      </c>
      <c r="E86" s="38"/>
      <c r="F86" s="38"/>
      <c r="G86" s="39"/>
      <c r="H86" s="40">
        <f t="shared" si="28"/>
        <v>0</v>
      </c>
      <c r="I86" s="43"/>
      <c r="J86" s="43"/>
      <c r="K86" s="43"/>
      <c r="L86" s="43"/>
      <c r="M86" s="44"/>
      <c r="N86" s="15"/>
      <c r="O86" s="44"/>
      <c r="P86" s="44"/>
      <c r="Q86" s="44"/>
      <c r="R86" s="44"/>
      <c r="S86" s="44"/>
    </row>
    <row r="87" spans="1:19" s="36" customFormat="1" ht="33.75" customHeight="1">
      <c r="A87" s="53"/>
      <c r="B87" s="53"/>
      <c r="C87" s="61"/>
      <c r="D87" s="42" t="s">
        <v>14</v>
      </c>
      <c r="E87" s="38"/>
      <c r="F87" s="38"/>
      <c r="G87" s="39"/>
      <c r="H87" s="40">
        <f t="shared" si="28"/>
        <v>0</v>
      </c>
      <c r="I87" s="43"/>
      <c r="J87" s="43"/>
      <c r="K87" s="43"/>
      <c r="L87" s="43"/>
      <c r="M87" s="44"/>
      <c r="N87" s="15"/>
      <c r="O87" s="44"/>
      <c r="P87" s="44"/>
      <c r="Q87" s="44"/>
      <c r="R87" s="44"/>
      <c r="S87" s="44"/>
    </row>
    <row r="88" spans="1:19" s="36" customFormat="1" ht="33.75" customHeight="1">
      <c r="A88" s="53"/>
      <c r="B88" s="53"/>
      <c r="C88" s="61"/>
      <c r="D88" s="42" t="s">
        <v>13</v>
      </c>
      <c r="E88" s="38"/>
      <c r="F88" s="38"/>
      <c r="G88" s="38"/>
      <c r="H88" s="40">
        <f t="shared" si="28"/>
        <v>0</v>
      </c>
      <c r="I88" s="43"/>
      <c r="J88" s="43"/>
      <c r="K88" s="43"/>
      <c r="L88" s="43"/>
      <c r="M88" s="44"/>
      <c r="N88" s="15"/>
      <c r="O88" s="44"/>
      <c r="P88" s="44"/>
      <c r="Q88" s="44"/>
      <c r="R88" s="44"/>
      <c r="S88" s="44"/>
    </row>
    <row r="89" spans="1:19" s="36" customFormat="1" ht="28.5" customHeight="1">
      <c r="A89" s="53" t="s">
        <v>210</v>
      </c>
      <c r="B89" s="53" t="s">
        <v>211</v>
      </c>
      <c r="C89" s="61" t="s">
        <v>100</v>
      </c>
      <c r="D89" s="37" t="s">
        <v>2</v>
      </c>
      <c r="E89" s="39"/>
      <c r="F89" s="45"/>
      <c r="G89" s="39" t="s">
        <v>213</v>
      </c>
      <c r="H89" s="40">
        <f t="shared" si="28"/>
        <v>3615.7049999999995</v>
      </c>
      <c r="I89" s="41">
        <f>SUM(I90:I96)</f>
        <v>0</v>
      </c>
      <c r="J89" s="41">
        <f>SUM(J90:J96)</f>
        <v>0</v>
      </c>
      <c r="K89" s="41">
        <f>SUM(K90:K96)</f>
        <v>0</v>
      </c>
      <c r="L89" s="41">
        <f>SUM(L90:L96)</f>
        <v>0</v>
      </c>
      <c r="M89" s="40">
        <f aca="true" t="shared" si="30" ref="M89:S89">M91+M90+M94+M95+M96</f>
        <v>0</v>
      </c>
      <c r="N89" s="13">
        <f t="shared" si="30"/>
        <v>516.529</v>
      </c>
      <c r="O89" s="40">
        <f t="shared" si="30"/>
        <v>1549.5879999999997</v>
      </c>
      <c r="P89" s="40">
        <f t="shared" si="30"/>
        <v>1549.5879999999997</v>
      </c>
      <c r="Q89" s="40">
        <f t="shared" si="30"/>
        <v>0</v>
      </c>
      <c r="R89" s="40">
        <f t="shared" si="30"/>
        <v>0</v>
      </c>
      <c r="S89" s="40">
        <f t="shared" si="30"/>
        <v>0</v>
      </c>
    </row>
    <row r="90" spans="1:19" s="36" customFormat="1" ht="28.5" customHeight="1">
      <c r="A90" s="53"/>
      <c r="B90" s="53"/>
      <c r="C90" s="61"/>
      <c r="D90" s="42" t="s">
        <v>11</v>
      </c>
      <c r="E90" s="38"/>
      <c r="F90" s="38"/>
      <c r="G90" s="38"/>
      <c r="H90" s="40">
        <f t="shared" si="28"/>
        <v>0</v>
      </c>
      <c r="I90" s="43"/>
      <c r="J90" s="43"/>
      <c r="K90" s="43"/>
      <c r="L90" s="43"/>
      <c r="M90" s="44"/>
      <c r="N90" s="15"/>
      <c r="O90" s="44"/>
      <c r="P90" s="44"/>
      <c r="Q90" s="44"/>
      <c r="R90" s="44"/>
      <c r="S90" s="44"/>
    </row>
    <row r="91" spans="1:22" s="36" customFormat="1" ht="28.5" customHeight="1">
      <c r="A91" s="53"/>
      <c r="B91" s="53"/>
      <c r="C91" s="61"/>
      <c r="D91" s="49" t="s">
        <v>20</v>
      </c>
      <c r="E91" s="39"/>
      <c r="F91" s="39"/>
      <c r="G91" s="39" t="s">
        <v>213</v>
      </c>
      <c r="H91" s="40">
        <f t="shared" si="28"/>
        <v>3615.7049999999995</v>
      </c>
      <c r="I91" s="43"/>
      <c r="J91" s="43"/>
      <c r="K91" s="43"/>
      <c r="L91" s="41"/>
      <c r="M91" s="40"/>
      <c r="N91" s="13">
        <f aca="true" t="shared" si="31" ref="N91:S91">N92+N93</f>
        <v>516.529</v>
      </c>
      <c r="O91" s="13">
        <f t="shared" si="31"/>
        <v>1549.5879999999997</v>
      </c>
      <c r="P91" s="13">
        <f t="shared" si="31"/>
        <v>1549.5879999999997</v>
      </c>
      <c r="Q91" s="13">
        <f t="shared" si="31"/>
        <v>0</v>
      </c>
      <c r="R91" s="13">
        <f t="shared" si="31"/>
        <v>0</v>
      </c>
      <c r="S91" s="13">
        <f t="shared" si="31"/>
        <v>0</v>
      </c>
      <c r="T91" s="36">
        <f>T92*1%</f>
        <v>213.73631683168315</v>
      </c>
      <c r="U91" s="36">
        <f>1549.588+20037.78</f>
        <v>21587.368</v>
      </c>
      <c r="V91" s="36">
        <f>(O92+O84)*1%</f>
        <v>213.73631999999998</v>
      </c>
    </row>
    <row r="92" spans="1:22" s="36" customFormat="1" ht="28.5" customHeight="1">
      <c r="A92" s="53"/>
      <c r="B92" s="53"/>
      <c r="C92" s="61"/>
      <c r="D92" s="49"/>
      <c r="E92" s="39" t="s">
        <v>104</v>
      </c>
      <c r="F92" s="39" t="s">
        <v>127</v>
      </c>
      <c r="G92" s="39" t="s">
        <v>213</v>
      </c>
      <c r="H92" s="40">
        <f t="shared" si="28"/>
        <v>3116.988</v>
      </c>
      <c r="I92" s="43"/>
      <c r="J92" s="43"/>
      <c r="K92" s="43"/>
      <c r="L92" s="41"/>
      <c r="M92" s="40"/>
      <c r="N92" s="13">
        <f>516.529-N93</f>
        <v>445.284</v>
      </c>
      <c r="O92" s="40">
        <f>1549.588-O93</f>
        <v>1335.8519999999999</v>
      </c>
      <c r="P92" s="40">
        <f>1549.588-P93</f>
        <v>1335.8519999999999</v>
      </c>
      <c r="Q92" s="40"/>
      <c r="R92" s="40"/>
      <c r="S92" s="40"/>
      <c r="T92" s="36">
        <f>(U91)/1.01</f>
        <v>21373.631683168314</v>
      </c>
      <c r="U92" s="48">
        <f>O93+O92</f>
        <v>1549.5879999999997</v>
      </c>
      <c r="V92" s="48">
        <f>O93-V91</f>
        <v>-0.00031999999998788553</v>
      </c>
    </row>
    <row r="93" spans="1:19" s="36" customFormat="1" ht="28.5" customHeight="1">
      <c r="A93" s="53"/>
      <c r="B93" s="53"/>
      <c r="C93" s="61"/>
      <c r="D93" s="49"/>
      <c r="E93" s="39" t="s">
        <v>104</v>
      </c>
      <c r="F93" s="39" t="s">
        <v>120</v>
      </c>
      <c r="G93" s="39" t="s">
        <v>213</v>
      </c>
      <c r="H93" s="40">
        <f t="shared" si="28"/>
        <v>498.717</v>
      </c>
      <c r="I93" s="43"/>
      <c r="J93" s="43"/>
      <c r="K93" s="43"/>
      <c r="L93" s="41"/>
      <c r="M93" s="40"/>
      <c r="N93" s="13">
        <v>71.245</v>
      </c>
      <c r="O93" s="40">
        <v>213.736</v>
      </c>
      <c r="P93" s="40">
        <v>213.736</v>
      </c>
      <c r="Q93" s="40"/>
      <c r="R93" s="40"/>
      <c r="S93" s="40"/>
    </row>
    <row r="94" spans="1:19" s="36" customFormat="1" ht="28.5" customHeight="1">
      <c r="A94" s="53"/>
      <c r="B94" s="53"/>
      <c r="C94" s="61"/>
      <c r="D94" s="42" t="s">
        <v>12</v>
      </c>
      <c r="E94" s="38"/>
      <c r="F94" s="38"/>
      <c r="G94" s="38"/>
      <c r="H94" s="40">
        <f t="shared" si="28"/>
        <v>0</v>
      </c>
      <c r="I94" s="43"/>
      <c r="J94" s="43"/>
      <c r="K94" s="43"/>
      <c r="L94" s="43"/>
      <c r="M94" s="44"/>
      <c r="N94" s="15"/>
      <c r="O94" s="44"/>
      <c r="P94" s="44"/>
      <c r="Q94" s="44"/>
      <c r="R94" s="44"/>
      <c r="S94" s="44"/>
    </row>
    <row r="95" spans="1:19" s="36" customFormat="1" ht="28.5" customHeight="1">
      <c r="A95" s="53"/>
      <c r="B95" s="53"/>
      <c r="C95" s="61"/>
      <c r="D95" s="42" t="s">
        <v>14</v>
      </c>
      <c r="E95" s="38"/>
      <c r="F95" s="38"/>
      <c r="G95" s="38"/>
      <c r="H95" s="40">
        <f t="shared" si="28"/>
        <v>0</v>
      </c>
      <c r="I95" s="43"/>
      <c r="J95" s="43"/>
      <c r="K95" s="43"/>
      <c r="L95" s="43"/>
      <c r="M95" s="44"/>
      <c r="N95" s="15"/>
      <c r="O95" s="44"/>
      <c r="P95" s="44"/>
      <c r="Q95" s="44"/>
      <c r="R95" s="44"/>
      <c r="S95" s="44"/>
    </row>
    <row r="96" spans="1:19" s="36" customFormat="1" ht="41.25" customHeight="1">
      <c r="A96" s="53"/>
      <c r="B96" s="53"/>
      <c r="C96" s="61"/>
      <c r="D96" s="42" t="s">
        <v>13</v>
      </c>
      <c r="E96" s="38"/>
      <c r="F96" s="38"/>
      <c r="G96" s="38"/>
      <c r="H96" s="40">
        <f t="shared" si="28"/>
        <v>0</v>
      </c>
      <c r="I96" s="43"/>
      <c r="J96" s="43"/>
      <c r="K96" s="43"/>
      <c r="L96" s="43"/>
      <c r="M96" s="44"/>
      <c r="N96" s="15"/>
      <c r="O96" s="44"/>
      <c r="P96" s="44"/>
      <c r="Q96" s="44"/>
      <c r="R96" s="44"/>
      <c r="S96" s="44"/>
    </row>
    <row r="97" spans="1:19" ht="60.75" customHeight="1">
      <c r="A97" s="6" t="s">
        <v>29</v>
      </c>
      <c r="B97" s="7" t="s">
        <v>31</v>
      </c>
      <c r="C97" s="7"/>
      <c r="D97" s="37" t="s">
        <v>2</v>
      </c>
      <c r="E97" s="39"/>
      <c r="F97" s="45"/>
      <c r="G97" s="39" t="s">
        <v>109</v>
      </c>
      <c r="H97" s="40">
        <f t="shared" si="2"/>
        <v>271576.54799999995</v>
      </c>
      <c r="I97" s="43">
        <f>I99</f>
        <v>15588.6</v>
      </c>
      <c r="J97" s="43">
        <f>J99</f>
        <v>16041</v>
      </c>
      <c r="K97" s="43">
        <f>K99</f>
        <v>19533.4</v>
      </c>
      <c r="L97" s="43">
        <f>L99</f>
        <v>24125.6</v>
      </c>
      <c r="M97" s="44">
        <f>M99</f>
        <v>25879.299</v>
      </c>
      <c r="N97" s="15">
        <f aca="true" t="shared" si="32" ref="N97:S97">N99+N105</f>
        <v>30466.449</v>
      </c>
      <c r="O97" s="44">
        <f t="shared" si="32"/>
        <v>27264</v>
      </c>
      <c r="P97" s="44">
        <f t="shared" si="32"/>
        <v>27264</v>
      </c>
      <c r="Q97" s="44">
        <f t="shared" si="32"/>
        <v>27362.3</v>
      </c>
      <c r="R97" s="44">
        <f t="shared" si="32"/>
        <v>28456.8</v>
      </c>
      <c r="S97" s="44">
        <f t="shared" si="32"/>
        <v>29595.1</v>
      </c>
    </row>
    <row r="98" spans="1:19" ht="14.25" customHeight="1">
      <c r="A98" s="11">
        <v>1</v>
      </c>
      <c r="B98" s="11">
        <v>2</v>
      </c>
      <c r="C98" s="11">
        <f aca="true" t="shared" si="33" ref="C98:S98">B98+1</f>
        <v>3</v>
      </c>
      <c r="D98" s="35">
        <f t="shared" si="33"/>
        <v>4</v>
      </c>
      <c r="E98" s="11">
        <f t="shared" si="33"/>
        <v>5</v>
      </c>
      <c r="F98" s="11">
        <f t="shared" si="33"/>
        <v>6</v>
      </c>
      <c r="G98" s="11">
        <f t="shared" si="33"/>
        <v>7</v>
      </c>
      <c r="H98" s="24">
        <f t="shared" si="33"/>
        <v>8</v>
      </c>
      <c r="I98" s="24">
        <f t="shared" si="33"/>
        <v>9</v>
      </c>
      <c r="J98" s="24">
        <f t="shared" si="33"/>
        <v>10</v>
      </c>
      <c r="K98" s="24">
        <f t="shared" si="33"/>
        <v>11</v>
      </c>
      <c r="L98" s="24">
        <f t="shared" si="33"/>
        <v>12</v>
      </c>
      <c r="M98" s="24">
        <f t="shared" si="33"/>
        <v>13</v>
      </c>
      <c r="N98" s="24">
        <f t="shared" si="33"/>
        <v>14</v>
      </c>
      <c r="O98" s="24">
        <f t="shared" si="33"/>
        <v>15</v>
      </c>
      <c r="P98" s="24">
        <f t="shared" si="33"/>
        <v>16</v>
      </c>
      <c r="Q98" s="24">
        <f t="shared" si="33"/>
        <v>17</v>
      </c>
      <c r="R98" s="24">
        <f t="shared" si="33"/>
        <v>18</v>
      </c>
      <c r="S98" s="24">
        <f t="shared" si="33"/>
        <v>19</v>
      </c>
    </row>
    <row r="99" spans="1:19" ht="14.25" customHeight="1">
      <c r="A99" s="53" t="s">
        <v>30</v>
      </c>
      <c r="B99" s="53" t="s">
        <v>161</v>
      </c>
      <c r="C99" s="61" t="s">
        <v>100</v>
      </c>
      <c r="D99" s="17" t="s">
        <v>2</v>
      </c>
      <c r="E99" s="21"/>
      <c r="F99" s="25"/>
      <c r="G99" s="21" t="s">
        <v>167</v>
      </c>
      <c r="H99" s="13">
        <f t="shared" si="2"/>
        <v>267428.448</v>
      </c>
      <c r="I99" s="23">
        <f>SUM(I100:I104)</f>
        <v>15588.6</v>
      </c>
      <c r="J99" s="23">
        <f>SUM(J100:J104)</f>
        <v>16041</v>
      </c>
      <c r="K99" s="23">
        <f>SUM(K100:K104)</f>
        <v>19533.4</v>
      </c>
      <c r="L99" s="23">
        <f>SUM(L100:L104)</f>
        <v>24125.6</v>
      </c>
      <c r="M99" s="13">
        <f>SUM(M100:M104)</f>
        <v>25879.299</v>
      </c>
      <c r="N99" s="13">
        <f>29776.706-3458.357</f>
        <v>26318.349</v>
      </c>
      <c r="O99" s="13">
        <v>27264</v>
      </c>
      <c r="P99" s="13">
        <v>27264</v>
      </c>
      <c r="Q99" s="13">
        <f>SUM(Q100:Q104)</f>
        <v>27362.3</v>
      </c>
      <c r="R99" s="13">
        <f>SUM(R100:R104)</f>
        <v>28456.8</v>
      </c>
      <c r="S99" s="13">
        <f>SUM(S100:S104)</f>
        <v>29595.1</v>
      </c>
    </row>
    <row r="100" spans="1:19" ht="27" customHeight="1">
      <c r="A100" s="53"/>
      <c r="B100" s="53"/>
      <c r="C100" s="61"/>
      <c r="D100" s="34" t="s">
        <v>11</v>
      </c>
      <c r="E100" s="20"/>
      <c r="F100" s="20"/>
      <c r="G100" s="20"/>
      <c r="H100" s="13">
        <f aca="true" t="shared" si="34" ref="H100:H200">I100+J100+K100+L100+M100+N100+O100+P100+Q100+R100+S100</f>
        <v>0</v>
      </c>
      <c r="I100" s="26"/>
      <c r="J100" s="26"/>
      <c r="K100" s="26"/>
      <c r="L100" s="26"/>
      <c r="M100" s="15"/>
      <c r="N100" s="15"/>
      <c r="O100" s="15"/>
      <c r="P100" s="15"/>
      <c r="Q100" s="15"/>
      <c r="R100" s="15"/>
      <c r="S100" s="15"/>
    </row>
    <row r="101" spans="1:19" ht="27" customHeight="1">
      <c r="A101" s="53"/>
      <c r="B101" s="53"/>
      <c r="C101" s="61"/>
      <c r="D101" s="34" t="s">
        <v>20</v>
      </c>
      <c r="E101" s="21" t="s">
        <v>104</v>
      </c>
      <c r="F101" s="21" t="s">
        <v>129</v>
      </c>
      <c r="G101" s="21" t="s">
        <v>167</v>
      </c>
      <c r="H101" s="13">
        <f t="shared" si="34"/>
        <v>164152.8</v>
      </c>
      <c r="I101" s="26"/>
      <c r="J101" s="26"/>
      <c r="K101" s="26"/>
      <c r="L101" s="26"/>
      <c r="M101" s="13">
        <v>22464.6</v>
      </c>
      <c r="N101" s="15">
        <v>22793</v>
      </c>
      <c r="O101" s="15">
        <v>25110</v>
      </c>
      <c r="P101" s="15">
        <v>25710</v>
      </c>
      <c r="Q101" s="13">
        <v>21807.8</v>
      </c>
      <c r="R101" s="13">
        <v>22680.1</v>
      </c>
      <c r="S101" s="13">
        <v>23587.3</v>
      </c>
    </row>
    <row r="102" spans="1:19" ht="27" customHeight="1">
      <c r="A102" s="53"/>
      <c r="B102" s="53"/>
      <c r="C102" s="61"/>
      <c r="D102" s="34" t="s">
        <v>12</v>
      </c>
      <c r="E102" s="21" t="s">
        <v>104</v>
      </c>
      <c r="F102" s="21" t="s">
        <v>129</v>
      </c>
      <c r="G102" s="21" t="s">
        <v>167</v>
      </c>
      <c r="H102" s="13">
        <f t="shared" si="34"/>
        <v>103275.64800000002</v>
      </c>
      <c r="I102" s="26">
        <v>15588.6</v>
      </c>
      <c r="J102" s="26">
        <v>16041</v>
      </c>
      <c r="K102" s="26">
        <v>19533.4</v>
      </c>
      <c r="L102" s="26">
        <v>24125.6</v>
      </c>
      <c r="M102" s="13">
        <v>3414.6990000000014</v>
      </c>
      <c r="N102" s="15">
        <f>N99-N101</f>
        <v>3525.3489999999983</v>
      </c>
      <c r="O102" s="15">
        <f>O99-O101</f>
        <v>2154</v>
      </c>
      <c r="P102" s="15">
        <f>P99-P101</f>
        <v>1554</v>
      </c>
      <c r="Q102" s="13">
        <v>5554.5</v>
      </c>
      <c r="R102" s="13">
        <v>5776.7</v>
      </c>
      <c r="S102" s="13">
        <v>6007.8</v>
      </c>
    </row>
    <row r="103" spans="1:19" ht="27" customHeight="1">
      <c r="A103" s="53"/>
      <c r="B103" s="53"/>
      <c r="C103" s="61"/>
      <c r="D103" s="34" t="s">
        <v>14</v>
      </c>
      <c r="E103" s="20"/>
      <c r="F103" s="20"/>
      <c r="G103" s="20"/>
      <c r="H103" s="13">
        <f t="shared" si="34"/>
        <v>0</v>
      </c>
      <c r="I103" s="26"/>
      <c r="J103" s="26"/>
      <c r="K103" s="26"/>
      <c r="L103" s="26"/>
      <c r="M103" s="15"/>
      <c r="N103" s="15"/>
      <c r="O103" s="15"/>
      <c r="P103" s="15"/>
      <c r="Q103" s="15"/>
      <c r="R103" s="15"/>
      <c r="S103" s="15"/>
    </row>
    <row r="104" spans="1:19" ht="27" customHeight="1">
      <c r="A104" s="53"/>
      <c r="B104" s="53"/>
      <c r="C104" s="61"/>
      <c r="D104" s="34" t="s">
        <v>13</v>
      </c>
      <c r="E104" s="20"/>
      <c r="F104" s="20"/>
      <c r="G104" s="20"/>
      <c r="H104" s="13">
        <f t="shared" si="34"/>
        <v>0</v>
      </c>
      <c r="I104" s="26"/>
      <c r="J104" s="26"/>
      <c r="K104" s="26"/>
      <c r="L104" s="26"/>
      <c r="M104" s="15"/>
      <c r="N104" s="15"/>
      <c r="O104" s="15"/>
      <c r="P104" s="15"/>
      <c r="Q104" s="15"/>
      <c r="R104" s="15"/>
      <c r="S104" s="15"/>
    </row>
    <row r="105" spans="1:19" ht="15" customHeight="1">
      <c r="A105" s="53" t="s">
        <v>204</v>
      </c>
      <c r="B105" s="53" t="s">
        <v>205</v>
      </c>
      <c r="C105" s="61" t="s">
        <v>100</v>
      </c>
      <c r="D105" s="17" t="s">
        <v>2</v>
      </c>
      <c r="E105" s="21"/>
      <c r="F105" s="25"/>
      <c r="G105" s="21" t="s">
        <v>207</v>
      </c>
      <c r="H105" s="13">
        <f t="shared" si="34"/>
        <v>4148.1</v>
      </c>
      <c r="I105" s="23">
        <f>SUM(I106:I112)</f>
        <v>0</v>
      </c>
      <c r="J105" s="23">
        <f>SUM(J106:J112)</f>
        <v>0</v>
      </c>
      <c r="K105" s="23">
        <f>SUM(K106:K112)</f>
        <v>0</v>
      </c>
      <c r="L105" s="23">
        <f>SUM(L106:L112)</f>
        <v>0</v>
      </c>
      <c r="M105" s="13">
        <f>SUM(M106:M112)</f>
        <v>0</v>
      </c>
      <c r="N105" s="13">
        <f aca="true" t="shared" si="35" ref="N105:S105">SUM(N106:N108)</f>
        <v>4148.1</v>
      </c>
      <c r="O105" s="13">
        <f t="shared" si="35"/>
        <v>0</v>
      </c>
      <c r="P105" s="13">
        <f t="shared" si="35"/>
        <v>0</v>
      </c>
      <c r="Q105" s="13">
        <f t="shared" si="35"/>
        <v>0</v>
      </c>
      <c r="R105" s="13">
        <f t="shared" si="35"/>
        <v>0</v>
      </c>
      <c r="S105" s="13">
        <f t="shared" si="35"/>
        <v>0</v>
      </c>
    </row>
    <row r="106" spans="1:19" ht="27" customHeight="1">
      <c r="A106" s="53"/>
      <c r="B106" s="53"/>
      <c r="C106" s="61"/>
      <c r="D106" s="34" t="s">
        <v>11</v>
      </c>
      <c r="E106" s="20"/>
      <c r="F106" s="20"/>
      <c r="G106" s="20"/>
      <c r="H106" s="13">
        <f aca="true" t="shared" si="36" ref="H106:H112">I106+J106+K106+L106+M106+N106+O106+P106+Q106+R106+S106</f>
        <v>0</v>
      </c>
      <c r="I106" s="26"/>
      <c r="J106" s="26"/>
      <c r="K106" s="26"/>
      <c r="L106" s="26"/>
      <c r="M106" s="15"/>
      <c r="N106" s="15"/>
      <c r="O106" s="15"/>
      <c r="P106" s="15"/>
      <c r="Q106" s="15"/>
      <c r="R106" s="15"/>
      <c r="S106" s="15"/>
    </row>
    <row r="107" spans="1:19" ht="27" customHeight="1">
      <c r="A107" s="53"/>
      <c r="B107" s="53"/>
      <c r="C107" s="61"/>
      <c r="D107" s="34" t="s">
        <v>20</v>
      </c>
      <c r="E107" s="21"/>
      <c r="F107" s="21"/>
      <c r="G107" s="21"/>
      <c r="H107" s="13">
        <f t="shared" si="36"/>
        <v>0</v>
      </c>
      <c r="I107" s="26"/>
      <c r="J107" s="26"/>
      <c r="K107" s="26"/>
      <c r="L107" s="26"/>
      <c r="M107" s="13"/>
      <c r="N107" s="15"/>
      <c r="O107" s="15"/>
      <c r="P107" s="15"/>
      <c r="Q107" s="13"/>
      <c r="R107" s="13"/>
      <c r="S107" s="13"/>
    </row>
    <row r="108" spans="1:19" ht="16.5" customHeight="1">
      <c r="A108" s="53"/>
      <c r="B108" s="53"/>
      <c r="C108" s="61"/>
      <c r="D108" s="62" t="s">
        <v>12</v>
      </c>
      <c r="E108" s="21"/>
      <c r="F108" s="21" t="s">
        <v>129</v>
      </c>
      <c r="G108" s="21" t="s">
        <v>207</v>
      </c>
      <c r="H108" s="13">
        <f>I108+J108+K108+L108+M108+N108+O108+P108+Q108+R108+S108</f>
        <v>4148.1</v>
      </c>
      <c r="I108" s="26"/>
      <c r="J108" s="26"/>
      <c r="K108" s="26"/>
      <c r="L108" s="26"/>
      <c r="M108" s="13"/>
      <c r="N108" s="15">
        <f aca="true" t="shared" si="37" ref="N108:S108">SUM(N109:N110)</f>
        <v>4148.1</v>
      </c>
      <c r="O108" s="15">
        <f t="shared" si="37"/>
        <v>0</v>
      </c>
      <c r="P108" s="15">
        <f t="shared" si="37"/>
        <v>0</v>
      </c>
      <c r="Q108" s="15">
        <f t="shared" si="37"/>
        <v>0</v>
      </c>
      <c r="R108" s="15">
        <f t="shared" si="37"/>
        <v>0</v>
      </c>
      <c r="S108" s="15">
        <f t="shared" si="37"/>
        <v>0</v>
      </c>
    </row>
    <row r="109" spans="1:19" ht="15" customHeight="1">
      <c r="A109" s="53"/>
      <c r="B109" s="53"/>
      <c r="C109" s="61"/>
      <c r="D109" s="62"/>
      <c r="E109" s="21" t="s">
        <v>104</v>
      </c>
      <c r="F109" s="21" t="s">
        <v>129</v>
      </c>
      <c r="G109" s="21" t="s">
        <v>207</v>
      </c>
      <c r="H109" s="13">
        <f t="shared" si="36"/>
        <v>3870.8520000000003</v>
      </c>
      <c r="I109" s="26"/>
      <c r="J109" s="26"/>
      <c r="K109" s="26"/>
      <c r="L109" s="26"/>
      <c r="M109" s="13"/>
      <c r="N109" s="15">
        <f>3719.413+345.6+20+20+20+23.087-N110</f>
        <v>3870.8520000000003</v>
      </c>
      <c r="O109" s="15"/>
      <c r="P109" s="15"/>
      <c r="Q109" s="13"/>
      <c r="R109" s="13"/>
      <c r="S109" s="13"/>
    </row>
    <row r="110" spans="1:19" ht="15" customHeight="1">
      <c r="A110" s="53"/>
      <c r="B110" s="53"/>
      <c r="C110" s="61"/>
      <c r="D110" s="62"/>
      <c r="E110" s="21" t="s">
        <v>206</v>
      </c>
      <c r="F110" s="21" t="s">
        <v>129</v>
      </c>
      <c r="G110" s="21" t="s">
        <v>207</v>
      </c>
      <c r="H110" s="13">
        <f t="shared" si="36"/>
        <v>277.248</v>
      </c>
      <c r="I110" s="26"/>
      <c r="J110" s="26"/>
      <c r="K110" s="26"/>
      <c r="L110" s="26"/>
      <c r="M110" s="13"/>
      <c r="N110" s="15">
        <v>277.248</v>
      </c>
      <c r="O110" s="15"/>
      <c r="P110" s="15"/>
      <c r="Q110" s="13"/>
      <c r="R110" s="13"/>
      <c r="S110" s="13"/>
    </row>
    <row r="111" spans="1:19" ht="27" customHeight="1">
      <c r="A111" s="53"/>
      <c r="B111" s="53"/>
      <c r="C111" s="61"/>
      <c r="D111" s="34" t="s">
        <v>14</v>
      </c>
      <c r="E111" s="20"/>
      <c r="F111" s="20"/>
      <c r="G111" s="20"/>
      <c r="H111" s="13">
        <f t="shared" si="36"/>
        <v>0</v>
      </c>
      <c r="I111" s="26"/>
      <c r="J111" s="26"/>
      <c r="K111" s="26"/>
      <c r="L111" s="26"/>
      <c r="M111" s="15"/>
      <c r="N111" s="15"/>
      <c r="O111" s="15"/>
      <c r="P111" s="15"/>
      <c r="Q111" s="15"/>
      <c r="R111" s="15"/>
      <c r="S111" s="15"/>
    </row>
    <row r="112" spans="1:19" ht="27" customHeight="1">
      <c r="A112" s="53"/>
      <c r="B112" s="53"/>
      <c r="C112" s="61"/>
      <c r="D112" s="34" t="s">
        <v>13</v>
      </c>
      <c r="E112" s="20"/>
      <c r="F112" s="20"/>
      <c r="G112" s="20"/>
      <c r="H112" s="13">
        <f t="shared" si="36"/>
        <v>0</v>
      </c>
      <c r="I112" s="26"/>
      <c r="J112" s="26"/>
      <c r="K112" s="26"/>
      <c r="L112" s="26"/>
      <c r="M112" s="15"/>
      <c r="N112" s="15"/>
      <c r="O112" s="15"/>
      <c r="P112" s="15"/>
      <c r="Q112" s="15"/>
      <c r="R112" s="15"/>
      <c r="S112" s="15"/>
    </row>
    <row r="113" spans="1:19" ht="75" customHeight="1">
      <c r="A113" s="6" t="s">
        <v>32</v>
      </c>
      <c r="B113" s="7" t="s">
        <v>33</v>
      </c>
      <c r="C113" s="7"/>
      <c r="D113" s="17" t="s">
        <v>2</v>
      </c>
      <c r="E113" s="21" t="s">
        <v>104</v>
      </c>
      <c r="F113" s="25"/>
      <c r="G113" s="21" t="s">
        <v>110</v>
      </c>
      <c r="H113" s="13">
        <f>I113+J113+K113+L113+M113+N113+O113+P113+Q113+R113+S113</f>
        <v>110400.62800000001</v>
      </c>
      <c r="I113" s="26">
        <f>I114+I124</f>
        <v>1993.3000000000002</v>
      </c>
      <c r="J113" s="26">
        <f>J114+J124</f>
        <v>5011.9</v>
      </c>
      <c r="K113" s="26">
        <f>K114+K124</f>
        <v>2143.9</v>
      </c>
      <c r="L113" s="26">
        <f>L114+L124+L130</f>
        <v>12470.800000000001</v>
      </c>
      <c r="M113" s="15">
        <f>M114+M124+M130</f>
        <v>11363.828</v>
      </c>
      <c r="N113" s="15">
        <f aca="true" t="shared" si="38" ref="N113:S113">N114+N124+N130+N136+N143+N155</f>
        <v>77416.90000000001</v>
      </c>
      <c r="O113" s="15">
        <f t="shared" si="38"/>
        <v>0</v>
      </c>
      <c r="P113" s="15">
        <f t="shared" si="38"/>
        <v>0</v>
      </c>
      <c r="Q113" s="15">
        <f t="shared" si="38"/>
        <v>0</v>
      </c>
      <c r="R113" s="15">
        <f t="shared" si="38"/>
        <v>0</v>
      </c>
      <c r="S113" s="15">
        <f t="shared" si="38"/>
        <v>0</v>
      </c>
    </row>
    <row r="114" spans="1:19" ht="12.75" customHeight="1">
      <c r="A114" s="53" t="s">
        <v>34</v>
      </c>
      <c r="B114" s="53" t="s">
        <v>35</v>
      </c>
      <c r="C114" s="61" t="s">
        <v>100</v>
      </c>
      <c r="D114" s="17" t="s">
        <v>2</v>
      </c>
      <c r="E114" s="21"/>
      <c r="F114" s="25"/>
      <c r="G114" s="21" t="s">
        <v>130</v>
      </c>
      <c r="H114" s="13">
        <f t="shared" si="34"/>
        <v>34539.776000000005</v>
      </c>
      <c r="I114" s="23">
        <f aca="true" t="shared" si="39" ref="I114:S114">SUM(I115:I117)</f>
        <v>392.7</v>
      </c>
      <c r="J114" s="23">
        <f t="shared" si="39"/>
        <v>2804.2000000000003</v>
      </c>
      <c r="K114" s="23">
        <f t="shared" si="39"/>
        <v>687.9</v>
      </c>
      <c r="L114" s="23">
        <f t="shared" si="39"/>
        <v>10970.6</v>
      </c>
      <c r="M114" s="13">
        <f t="shared" si="39"/>
        <v>11363.828</v>
      </c>
      <c r="N114" s="13">
        <f t="shared" si="39"/>
        <v>8320.548</v>
      </c>
      <c r="O114" s="13">
        <f t="shared" si="39"/>
        <v>0</v>
      </c>
      <c r="P114" s="13">
        <f t="shared" si="39"/>
        <v>0</v>
      </c>
      <c r="Q114" s="13">
        <f t="shared" si="39"/>
        <v>0</v>
      </c>
      <c r="R114" s="13">
        <f t="shared" si="39"/>
        <v>0</v>
      </c>
      <c r="S114" s="13">
        <f t="shared" si="39"/>
        <v>0</v>
      </c>
    </row>
    <row r="115" spans="1:19" ht="27" customHeight="1">
      <c r="A115" s="53"/>
      <c r="B115" s="53"/>
      <c r="C115" s="61"/>
      <c r="D115" s="34" t="s">
        <v>11</v>
      </c>
      <c r="E115" s="20"/>
      <c r="F115" s="20"/>
      <c r="G115" s="20"/>
      <c r="H115" s="13">
        <f t="shared" si="34"/>
        <v>0</v>
      </c>
      <c r="I115" s="26"/>
      <c r="J115" s="26"/>
      <c r="K115" s="26"/>
      <c r="L115" s="26"/>
      <c r="M115" s="15"/>
      <c r="N115" s="15"/>
      <c r="O115" s="15"/>
      <c r="P115" s="15"/>
      <c r="Q115" s="15"/>
      <c r="R115" s="15"/>
      <c r="S115" s="15"/>
    </row>
    <row r="116" spans="1:19" ht="27" customHeight="1">
      <c r="A116" s="53"/>
      <c r="B116" s="53"/>
      <c r="C116" s="61"/>
      <c r="D116" s="34" t="s">
        <v>20</v>
      </c>
      <c r="E116" s="20"/>
      <c r="F116" s="20"/>
      <c r="G116" s="20"/>
      <c r="H116" s="13">
        <f t="shared" si="34"/>
        <v>0</v>
      </c>
      <c r="I116" s="26"/>
      <c r="J116" s="26"/>
      <c r="K116" s="26"/>
      <c r="L116" s="26"/>
      <c r="M116" s="15"/>
      <c r="N116" s="15"/>
      <c r="O116" s="15"/>
      <c r="P116" s="15"/>
      <c r="Q116" s="15"/>
      <c r="R116" s="15"/>
      <c r="S116" s="15"/>
    </row>
    <row r="117" spans="1:19" ht="13.5" customHeight="1">
      <c r="A117" s="53"/>
      <c r="B117" s="53"/>
      <c r="C117" s="61"/>
      <c r="D117" s="62" t="s">
        <v>12</v>
      </c>
      <c r="E117" s="21"/>
      <c r="F117" s="20"/>
      <c r="G117" s="21" t="s">
        <v>130</v>
      </c>
      <c r="H117" s="13">
        <f t="shared" si="34"/>
        <v>34539.776000000005</v>
      </c>
      <c r="I117" s="26">
        <f aca="true" t="shared" si="40" ref="I117:N117">SUM(I118:I120)</f>
        <v>392.7</v>
      </c>
      <c r="J117" s="26">
        <f t="shared" si="40"/>
        <v>2804.2000000000003</v>
      </c>
      <c r="K117" s="26">
        <f t="shared" si="40"/>
        <v>687.9</v>
      </c>
      <c r="L117" s="26">
        <f t="shared" si="40"/>
        <v>10970.6</v>
      </c>
      <c r="M117" s="15">
        <f>SUM(M118:M120)</f>
        <v>11363.828</v>
      </c>
      <c r="N117" s="15">
        <f t="shared" si="40"/>
        <v>8320.548</v>
      </c>
      <c r="O117" s="15">
        <f>SUM(O118:O120)</f>
        <v>0</v>
      </c>
      <c r="P117" s="13">
        <v>0</v>
      </c>
      <c r="Q117" s="15">
        <f>SUM(Q118:Q120)</f>
        <v>0</v>
      </c>
      <c r="R117" s="15">
        <f>SUM(R118:R120)</f>
        <v>0</v>
      </c>
      <c r="S117" s="15">
        <f>SUM(S118:S120)</f>
        <v>0</v>
      </c>
    </row>
    <row r="118" spans="1:19" ht="13.5" customHeight="1">
      <c r="A118" s="53"/>
      <c r="B118" s="53"/>
      <c r="C118" s="61"/>
      <c r="D118" s="62"/>
      <c r="E118" s="21" t="s">
        <v>104</v>
      </c>
      <c r="F118" s="21" t="s">
        <v>121</v>
      </c>
      <c r="G118" s="21" t="s">
        <v>130</v>
      </c>
      <c r="H118" s="13">
        <f t="shared" si="34"/>
        <v>9055.196</v>
      </c>
      <c r="I118" s="26"/>
      <c r="J118" s="26">
        <v>319.8</v>
      </c>
      <c r="K118" s="26">
        <v>677.9</v>
      </c>
      <c r="L118" s="26">
        <v>3777.6</v>
      </c>
      <c r="M118" s="13">
        <v>3531.676</v>
      </c>
      <c r="N118" s="15">
        <v>748.22</v>
      </c>
      <c r="O118" s="15">
        <v>0</v>
      </c>
      <c r="P118" s="13">
        <v>0</v>
      </c>
      <c r="Q118" s="13">
        <v>0</v>
      </c>
      <c r="R118" s="13">
        <v>0</v>
      </c>
      <c r="S118" s="13">
        <v>0</v>
      </c>
    </row>
    <row r="119" spans="1:19" ht="13.5" customHeight="1">
      <c r="A119" s="53"/>
      <c r="B119" s="53"/>
      <c r="C119" s="61"/>
      <c r="D119" s="62"/>
      <c r="E119" s="21" t="s">
        <v>104</v>
      </c>
      <c r="F119" s="21" t="s">
        <v>127</v>
      </c>
      <c r="G119" s="21" t="s">
        <v>130</v>
      </c>
      <c r="H119" s="13">
        <f t="shared" si="34"/>
        <v>23933.06</v>
      </c>
      <c r="I119" s="26">
        <v>392.7</v>
      </c>
      <c r="J119" s="26">
        <v>2484.4</v>
      </c>
      <c r="K119" s="26">
        <v>10</v>
      </c>
      <c r="L119" s="26">
        <v>6426.4</v>
      </c>
      <c r="M119" s="13">
        <v>7753.216</v>
      </c>
      <c r="N119" s="15">
        <f>6704.344+162</f>
        <v>6866.344</v>
      </c>
      <c r="O119" s="15">
        <v>0</v>
      </c>
      <c r="P119" s="13">
        <v>0</v>
      </c>
      <c r="Q119" s="13">
        <v>0</v>
      </c>
      <c r="R119" s="13">
        <v>0</v>
      </c>
      <c r="S119" s="13">
        <v>0</v>
      </c>
    </row>
    <row r="120" spans="1:19" ht="13.5" customHeight="1">
      <c r="A120" s="53"/>
      <c r="B120" s="53"/>
      <c r="C120" s="61"/>
      <c r="D120" s="62"/>
      <c r="E120" s="21" t="s">
        <v>104</v>
      </c>
      <c r="F120" s="21" t="s">
        <v>129</v>
      </c>
      <c r="G120" s="21" t="s">
        <v>130</v>
      </c>
      <c r="H120" s="13">
        <f t="shared" si="34"/>
        <v>1551.52</v>
      </c>
      <c r="I120" s="26"/>
      <c r="J120" s="26"/>
      <c r="K120" s="26"/>
      <c r="L120" s="26">
        <v>766.6</v>
      </c>
      <c r="M120" s="15">
        <v>78.936</v>
      </c>
      <c r="N120" s="15">
        <v>705.984</v>
      </c>
      <c r="O120" s="15"/>
      <c r="P120" s="13">
        <v>0</v>
      </c>
      <c r="Q120" s="13">
        <v>0</v>
      </c>
      <c r="R120" s="13">
        <v>0</v>
      </c>
      <c r="S120" s="13">
        <v>0</v>
      </c>
    </row>
    <row r="121" spans="1:19" ht="27" customHeight="1">
      <c r="A121" s="53"/>
      <c r="B121" s="53"/>
      <c r="C121" s="61"/>
      <c r="D121" s="34" t="s">
        <v>14</v>
      </c>
      <c r="E121" s="20"/>
      <c r="F121" s="20"/>
      <c r="G121" s="20"/>
      <c r="H121" s="13">
        <f t="shared" si="34"/>
        <v>0</v>
      </c>
      <c r="I121" s="26"/>
      <c r="J121" s="26"/>
      <c r="K121" s="26"/>
      <c r="L121" s="26"/>
      <c r="M121" s="15"/>
      <c r="N121" s="15"/>
      <c r="O121" s="15"/>
      <c r="P121" s="15"/>
      <c r="Q121" s="15"/>
      <c r="R121" s="15"/>
      <c r="S121" s="15"/>
    </row>
    <row r="122" spans="1:19" ht="27" customHeight="1">
      <c r="A122" s="53"/>
      <c r="B122" s="53"/>
      <c r="C122" s="61"/>
      <c r="D122" s="34" t="s">
        <v>13</v>
      </c>
      <c r="E122" s="20"/>
      <c r="F122" s="20"/>
      <c r="G122" s="20"/>
      <c r="H122" s="13">
        <f t="shared" si="34"/>
        <v>0</v>
      </c>
      <c r="I122" s="26"/>
      <c r="J122" s="26"/>
      <c r="K122" s="26"/>
      <c r="L122" s="26"/>
      <c r="M122" s="15"/>
      <c r="N122" s="15"/>
      <c r="O122" s="15"/>
      <c r="P122" s="15"/>
      <c r="Q122" s="15"/>
      <c r="R122" s="15"/>
      <c r="S122" s="15"/>
    </row>
    <row r="123" spans="1:19" ht="14.25" customHeight="1">
      <c r="A123" s="9">
        <v>1</v>
      </c>
      <c r="B123" s="9">
        <v>2</v>
      </c>
      <c r="C123" s="9">
        <f aca="true" t="shared" si="41" ref="C123:S123">B123+1</f>
        <v>3</v>
      </c>
      <c r="D123" s="34">
        <f t="shared" si="41"/>
        <v>4</v>
      </c>
      <c r="E123" s="9">
        <f t="shared" si="41"/>
        <v>5</v>
      </c>
      <c r="F123" s="9">
        <f t="shared" si="41"/>
        <v>6</v>
      </c>
      <c r="G123" s="9">
        <f t="shared" si="41"/>
        <v>7</v>
      </c>
      <c r="H123" s="24">
        <f t="shared" si="41"/>
        <v>8</v>
      </c>
      <c r="I123" s="24">
        <f t="shared" si="41"/>
        <v>9</v>
      </c>
      <c r="J123" s="24">
        <f t="shared" si="41"/>
        <v>10</v>
      </c>
      <c r="K123" s="24">
        <f t="shared" si="41"/>
        <v>11</v>
      </c>
      <c r="L123" s="24">
        <f t="shared" si="41"/>
        <v>12</v>
      </c>
      <c r="M123" s="24">
        <f t="shared" si="41"/>
        <v>13</v>
      </c>
      <c r="N123" s="24">
        <f t="shared" si="41"/>
        <v>14</v>
      </c>
      <c r="O123" s="24">
        <f t="shared" si="41"/>
        <v>15</v>
      </c>
      <c r="P123" s="24">
        <f t="shared" si="41"/>
        <v>16</v>
      </c>
      <c r="Q123" s="24">
        <f t="shared" si="41"/>
        <v>17</v>
      </c>
      <c r="R123" s="24">
        <f t="shared" si="41"/>
        <v>18</v>
      </c>
      <c r="S123" s="24">
        <f t="shared" si="41"/>
        <v>19</v>
      </c>
    </row>
    <row r="124" spans="1:19" ht="15" customHeight="1">
      <c r="A124" s="53" t="s">
        <v>74</v>
      </c>
      <c r="B124" s="53" t="s">
        <v>81</v>
      </c>
      <c r="C124" s="61" t="s">
        <v>100</v>
      </c>
      <c r="D124" s="17" t="s">
        <v>2</v>
      </c>
      <c r="E124" s="21"/>
      <c r="F124" s="20"/>
      <c r="G124" s="30" t="s">
        <v>164</v>
      </c>
      <c r="H124" s="13">
        <f t="shared" si="34"/>
        <v>6664.3</v>
      </c>
      <c r="I124" s="23">
        <f aca="true" t="shared" si="42" ref="I124:N124">SUM(I125:I129)</f>
        <v>1600.6000000000001</v>
      </c>
      <c r="J124" s="23">
        <f t="shared" si="42"/>
        <v>2207.7</v>
      </c>
      <c r="K124" s="23">
        <f>SUM(K125:K129)</f>
        <v>1456</v>
      </c>
      <c r="L124" s="23">
        <f>SUM(L125:L129)</f>
        <v>1400</v>
      </c>
      <c r="M124" s="13">
        <f>SUM(M125:M129)</f>
        <v>0</v>
      </c>
      <c r="N124" s="13">
        <f t="shared" si="42"/>
        <v>0</v>
      </c>
      <c r="O124" s="13">
        <f>SUM(O125:O129)</f>
        <v>0</v>
      </c>
      <c r="P124" s="13">
        <f>SUM(P125:P129)</f>
        <v>0</v>
      </c>
      <c r="Q124" s="13">
        <f>SUM(Q125:Q129)</f>
        <v>0</v>
      </c>
      <c r="R124" s="13">
        <f>SUM(R125:R129)</f>
        <v>0</v>
      </c>
      <c r="S124" s="13">
        <f>SUM(S125:S129)</f>
        <v>0</v>
      </c>
    </row>
    <row r="125" spans="1:19" ht="27" customHeight="1">
      <c r="A125" s="53"/>
      <c r="B125" s="53"/>
      <c r="C125" s="61"/>
      <c r="D125" s="34" t="s">
        <v>11</v>
      </c>
      <c r="E125" s="21" t="s">
        <v>104</v>
      </c>
      <c r="F125" s="21" t="s">
        <v>127</v>
      </c>
      <c r="G125" s="30" t="s">
        <v>164</v>
      </c>
      <c r="H125" s="13">
        <f t="shared" si="34"/>
        <v>4230.8</v>
      </c>
      <c r="I125" s="26">
        <f>1225.4</f>
        <v>1225.4</v>
      </c>
      <c r="J125" s="26">
        <v>1120</v>
      </c>
      <c r="K125" s="26">
        <f>819.4</f>
        <v>819.4</v>
      </c>
      <c r="L125" s="26">
        <v>1066</v>
      </c>
      <c r="M125" s="15"/>
      <c r="N125" s="15"/>
      <c r="O125" s="15"/>
      <c r="P125" s="15"/>
      <c r="Q125" s="15"/>
      <c r="R125" s="15"/>
      <c r="S125" s="15"/>
    </row>
    <row r="126" spans="1:19" ht="27" customHeight="1">
      <c r="A126" s="53"/>
      <c r="B126" s="53"/>
      <c r="C126" s="61"/>
      <c r="D126" s="34" t="s">
        <v>20</v>
      </c>
      <c r="E126" s="21" t="s">
        <v>104</v>
      </c>
      <c r="F126" s="21" t="s">
        <v>127</v>
      </c>
      <c r="G126" s="30" t="s">
        <v>164</v>
      </c>
      <c r="H126" s="13">
        <f t="shared" si="34"/>
        <v>1394.5</v>
      </c>
      <c r="I126" s="26">
        <v>375.2</v>
      </c>
      <c r="J126" s="26">
        <v>480</v>
      </c>
      <c r="K126" s="26">
        <f>1170.6-K125</f>
        <v>351.19999999999993</v>
      </c>
      <c r="L126" s="26">
        <f>1254.1-L125</f>
        <v>188.0999999999999</v>
      </c>
      <c r="M126" s="15"/>
      <c r="N126" s="15"/>
      <c r="O126" s="15"/>
      <c r="P126" s="15"/>
      <c r="Q126" s="15"/>
      <c r="R126" s="15"/>
      <c r="S126" s="15"/>
    </row>
    <row r="127" spans="1:19" ht="27" customHeight="1">
      <c r="A127" s="53"/>
      <c r="B127" s="53"/>
      <c r="C127" s="61"/>
      <c r="D127" s="34" t="s">
        <v>12</v>
      </c>
      <c r="E127" s="21" t="s">
        <v>104</v>
      </c>
      <c r="F127" s="21" t="s">
        <v>127</v>
      </c>
      <c r="G127" s="30" t="s">
        <v>164</v>
      </c>
      <c r="H127" s="13">
        <f t="shared" si="34"/>
        <v>1039</v>
      </c>
      <c r="I127" s="26">
        <v>0</v>
      </c>
      <c r="J127" s="26">
        <v>607.7</v>
      </c>
      <c r="K127" s="26">
        <v>285.4</v>
      </c>
      <c r="L127" s="26">
        <v>145.9</v>
      </c>
      <c r="M127" s="13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</row>
    <row r="128" spans="1:19" ht="27" customHeight="1">
      <c r="A128" s="53"/>
      <c r="B128" s="53"/>
      <c r="C128" s="61"/>
      <c r="D128" s="34" t="s">
        <v>14</v>
      </c>
      <c r="E128" s="20"/>
      <c r="F128" s="20"/>
      <c r="G128" s="20"/>
      <c r="H128" s="13">
        <f t="shared" si="34"/>
        <v>0</v>
      </c>
      <c r="I128" s="26"/>
      <c r="J128" s="26"/>
      <c r="K128" s="26"/>
      <c r="L128" s="26"/>
      <c r="M128" s="15"/>
      <c r="N128" s="15"/>
      <c r="O128" s="15"/>
      <c r="P128" s="15"/>
      <c r="Q128" s="15"/>
      <c r="R128" s="15"/>
      <c r="S128" s="15"/>
    </row>
    <row r="129" spans="1:19" ht="27" customHeight="1">
      <c r="A129" s="53"/>
      <c r="B129" s="53"/>
      <c r="C129" s="61"/>
      <c r="D129" s="34" t="s">
        <v>13</v>
      </c>
      <c r="E129" s="20"/>
      <c r="F129" s="20"/>
      <c r="G129" s="20"/>
      <c r="H129" s="13">
        <f t="shared" si="34"/>
        <v>0</v>
      </c>
      <c r="I129" s="26"/>
      <c r="J129" s="26"/>
      <c r="K129" s="26"/>
      <c r="L129" s="26"/>
      <c r="M129" s="15"/>
      <c r="N129" s="15"/>
      <c r="O129" s="15"/>
      <c r="P129" s="15"/>
      <c r="Q129" s="15"/>
      <c r="R129" s="15"/>
      <c r="S129" s="15"/>
    </row>
    <row r="130" spans="1:19" ht="14.25" customHeight="1">
      <c r="A130" s="53" t="s">
        <v>87</v>
      </c>
      <c r="B130" s="53" t="s">
        <v>94</v>
      </c>
      <c r="C130" s="61" t="s">
        <v>100</v>
      </c>
      <c r="D130" s="17" t="s">
        <v>2</v>
      </c>
      <c r="E130" s="21"/>
      <c r="F130" s="20"/>
      <c r="G130" s="21" t="s">
        <v>131</v>
      </c>
      <c r="H130" s="13">
        <f t="shared" si="34"/>
        <v>100.2</v>
      </c>
      <c r="I130" s="23">
        <f aca="true" t="shared" si="43" ref="I130:N130">SUM(I131:I135)</f>
        <v>0</v>
      </c>
      <c r="J130" s="23">
        <f t="shared" si="43"/>
        <v>0</v>
      </c>
      <c r="K130" s="23">
        <f t="shared" si="43"/>
        <v>0</v>
      </c>
      <c r="L130" s="23">
        <f t="shared" si="43"/>
        <v>100.2</v>
      </c>
      <c r="M130" s="13">
        <f>SUM(M131:M135)</f>
        <v>0</v>
      </c>
      <c r="N130" s="13">
        <f t="shared" si="43"/>
        <v>0</v>
      </c>
      <c r="O130" s="13">
        <f>SUM(O131:O135)</f>
        <v>0</v>
      </c>
      <c r="P130" s="13">
        <f>SUM(P131:P135)</f>
        <v>0</v>
      </c>
      <c r="Q130" s="13">
        <f>SUM(Q131:Q135)</f>
        <v>0</v>
      </c>
      <c r="R130" s="13">
        <f>SUM(R131:R135)</f>
        <v>0</v>
      </c>
      <c r="S130" s="13">
        <f>SUM(S131:S135)</f>
        <v>0</v>
      </c>
    </row>
    <row r="131" spans="1:19" ht="27" customHeight="1">
      <c r="A131" s="53"/>
      <c r="B131" s="53"/>
      <c r="C131" s="61"/>
      <c r="D131" s="34" t="s">
        <v>11</v>
      </c>
      <c r="E131" s="21"/>
      <c r="F131" s="21"/>
      <c r="G131" s="21"/>
      <c r="H131" s="13">
        <f t="shared" si="34"/>
        <v>0</v>
      </c>
      <c r="I131" s="26"/>
      <c r="J131" s="26"/>
      <c r="K131" s="26"/>
      <c r="L131" s="26"/>
      <c r="M131" s="15"/>
      <c r="N131" s="15"/>
      <c r="O131" s="15"/>
      <c r="P131" s="15"/>
      <c r="Q131" s="15"/>
      <c r="R131" s="15"/>
      <c r="S131" s="15"/>
    </row>
    <row r="132" spans="1:19" ht="27" customHeight="1">
      <c r="A132" s="53"/>
      <c r="B132" s="53"/>
      <c r="C132" s="61"/>
      <c r="D132" s="34" t="s">
        <v>20</v>
      </c>
      <c r="E132" s="21"/>
      <c r="F132" s="21"/>
      <c r="G132" s="21"/>
      <c r="H132" s="13">
        <f t="shared" si="34"/>
        <v>0</v>
      </c>
      <c r="I132" s="26"/>
      <c r="J132" s="26"/>
      <c r="K132" s="26"/>
      <c r="L132" s="26"/>
      <c r="M132" s="15"/>
      <c r="N132" s="15"/>
      <c r="O132" s="15"/>
      <c r="P132" s="15"/>
      <c r="Q132" s="15"/>
      <c r="R132" s="15"/>
      <c r="S132" s="15"/>
    </row>
    <row r="133" spans="1:19" ht="27" customHeight="1">
      <c r="A133" s="53"/>
      <c r="B133" s="53"/>
      <c r="C133" s="61"/>
      <c r="D133" s="34" t="s">
        <v>12</v>
      </c>
      <c r="E133" s="21" t="s">
        <v>104</v>
      </c>
      <c r="F133" s="21" t="s">
        <v>127</v>
      </c>
      <c r="G133" s="21" t="s">
        <v>131</v>
      </c>
      <c r="H133" s="13">
        <f t="shared" si="34"/>
        <v>100.2</v>
      </c>
      <c r="I133" s="26"/>
      <c r="J133" s="26"/>
      <c r="K133" s="26"/>
      <c r="L133" s="26">
        <v>100.2</v>
      </c>
      <c r="M133" s="13">
        <v>0</v>
      </c>
      <c r="N133" s="15">
        <v>0</v>
      </c>
      <c r="O133" s="15">
        <v>0</v>
      </c>
      <c r="P133" s="13">
        <v>0</v>
      </c>
      <c r="Q133" s="13">
        <v>0</v>
      </c>
      <c r="R133" s="13">
        <v>0</v>
      </c>
      <c r="S133" s="13">
        <v>0</v>
      </c>
    </row>
    <row r="134" spans="1:19" ht="27" customHeight="1">
      <c r="A134" s="53"/>
      <c r="B134" s="53"/>
      <c r="C134" s="61"/>
      <c r="D134" s="34" t="s">
        <v>14</v>
      </c>
      <c r="E134" s="20"/>
      <c r="F134" s="20"/>
      <c r="G134" s="20"/>
      <c r="H134" s="13">
        <f t="shared" si="34"/>
        <v>0</v>
      </c>
      <c r="I134" s="26"/>
      <c r="J134" s="26"/>
      <c r="K134" s="26"/>
      <c r="L134" s="26"/>
      <c r="M134" s="15"/>
      <c r="N134" s="15"/>
      <c r="O134" s="15"/>
      <c r="P134" s="15"/>
      <c r="Q134" s="15"/>
      <c r="R134" s="15"/>
      <c r="S134" s="15"/>
    </row>
    <row r="135" spans="1:19" ht="27" customHeight="1">
      <c r="A135" s="53"/>
      <c r="B135" s="53"/>
      <c r="C135" s="61"/>
      <c r="D135" s="34" t="s">
        <v>13</v>
      </c>
      <c r="E135" s="20"/>
      <c r="F135" s="20"/>
      <c r="G135" s="20"/>
      <c r="H135" s="13">
        <f t="shared" si="34"/>
        <v>0</v>
      </c>
      <c r="I135" s="26"/>
      <c r="J135" s="26"/>
      <c r="K135" s="26"/>
      <c r="L135" s="26"/>
      <c r="M135" s="15"/>
      <c r="N135" s="15"/>
      <c r="O135" s="15"/>
      <c r="P135" s="15"/>
      <c r="Q135" s="15"/>
      <c r="R135" s="15"/>
      <c r="S135" s="15"/>
    </row>
    <row r="136" spans="1:19" ht="15.75" customHeight="1">
      <c r="A136" s="53" t="s">
        <v>186</v>
      </c>
      <c r="B136" s="53" t="s">
        <v>191</v>
      </c>
      <c r="C136" s="61" t="s">
        <v>100</v>
      </c>
      <c r="D136" s="17" t="s">
        <v>2</v>
      </c>
      <c r="E136" s="21"/>
      <c r="F136" s="20"/>
      <c r="G136" s="21" t="s">
        <v>187</v>
      </c>
      <c r="H136" s="13">
        <f aca="true" t="shared" si="44" ref="H136:H154">I136+J136+K136+L136+M136+N136+O136+P136+Q136+R136+S136</f>
        <v>50680.776000000005</v>
      </c>
      <c r="I136" s="23">
        <f aca="true" t="shared" si="45" ref="I136:S136">SUM(I137:I141)</f>
        <v>0</v>
      </c>
      <c r="J136" s="23">
        <f t="shared" si="45"/>
        <v>0</v>
      </c>
      <c r="K136" s="23">
        <f t="shared" si="45"/>
        <v>0</v>
      </c>
      <c r="L136" s="23">
        <f t="shared" si="45"/>
        <v>0</v>
      </c>
      <c r="M136" s="13">
        <f t="shared" si="45"/>
        <v>0</v>
      </c>
      <c r="N136" s="13">
        <f t="shared" si="45"/>
        <v>50680.776000000005</v>
      </c>
      <c r="O136" s="13">
        <f t="shared" si="45"/>
        <v>0</v>
      </c>
      <c r="P136" s="13">
        <f t="shared" si="45"/>
        <v>0</v>
      </c>
      <c r="Q136" s="13">
        <f t="shared" si="45"/>
        <v>0</v>
      </c>
      <c r="R136" s="13">
        <f t="shared" si="45"/>
        <v>0</v>
      </c>
      <c r="S136" s="13">
        <f t="shared" si="45"/>
        <v>0</v>
      </c>
    </row>
    <row r="137" spans="1:19" ht="27" customHeight="1">
      <c r="A137" s="53"/>
      <c r="B137" s="53"/>
      <c r="C137" s="61"/>
      <c r="D137" s="34" t="s">
        <v>11</v>
      </c>
      <c r="E137" s="21" t="s">
        <v>104</v>
      </c>
      <c r="F137" s="21" t="s">
        <v>127</v>
      </c>
      <c r="G137" s="21" t="s">
        <v>187</v>
      </c>
      <c r="H137" s="13">
        <f t="shared" si="44"/>
        <v>41786.3</v>
      </c>
      <c r="I137" s="26"/>
      <c r="J137" s="26"/>
      <c r="K137" s="26"/>
      <c r="L137" s="26"/>
      <c r="M137" s="15"/>
      <c r="N137" s="15">
        <v>41786.3</v>
      </c>
      <c r="O137" s="15"/>
      <c r="P137" s="15"/>
      <c r="Q137" s="15"/>
      <c r="R137" s="15"/>
      <c r="S137" s="15"/>
    </row>
    <row r="138" spans="1:19" ht="27" customHeight="1">
      <c r="A138" s="53"/>
      <c r="B138" s="53"/>
      <c r="C138" s="61"/>
      <c r="D138" s="34" t="s">
        <v>20</v>
      </c>
      <c r="E138" s="21" t="s">
        <v>104</v>
      </c>
      <c r="F138" s="21" t="s">
        <v>127</v>
      </c>
      <c r="G138" s="21" t="s">
        <v>187</v>
      </c>
      <c r="H138" s="13">
        <f t="shared" si="44"/>
        <v>7374.053</v>
      </c>
      <c r="I138" s="26"/>
      <c r="J138" s="26"/>
      <c r="K138" s="26"/>
      <c r="L138" s="26"/>
      <c r="M138" s="15"/>
      <c r="N138" s="15">
        <v>7374.053</v>
      </c>
      <c r="O138" s="15"/>
      <c r="P138" s="15"/>
      <c r="Q138" s="15"/>
      <c r="R138" s="15"/>
      <c r="S138" s="15"/>
    </row>
    <row r="139" spans="1:19" ht="27" customHeight="1">
      <c r="A139" s="53"/>
      <c r="B139" s="53"/>
      <c r="C139" s="61"/>
      <c r="D139" s="34" t="s">
        <v>12</v>
      </c>
      <c r="E139" s="21" t="s">
        <v>104</v>
      </c>
      <c r="F139" s="21" t="s">
        <v>127</v>
      </c>
      <c r="G139" s="21" t="s">
        <v>187</v>
      </c>
      <c r="H139" s="13">
        <f t="shared" si="44"/>
        <v>1520.423</v>
      </c>
      <c r="I139" s="26"/>
      <c r="J139" s="26"/>
      <c r="K139" s="26"/>
      <c r="L139" s="26"/>
      <c r="M139" s="13">
        <v>0</v>
      </c>
      <c r="N139" s="15">
        <v>1520.423</v>
      </c>
      <c r="O139" s="15">
        <v>0</v>
      </c>
      <c r="P139" s="13">
        <v>0</v>
      </c>
      <c r="Q139" s="13">
        <v>0</v>
      </c>
      <c r="R139" s="13">
        <v>0</v>
      </c>
      <c r="S139" s="13">
        <v>0</v>
      </c>
    </row>
    <row r="140" spans="1:19" ht="27" customHeight="1">
      <c r="A140" s="53"/>
      <c r="B140" s="53"/>
      <c r="C140" s="61"/>
      <c r="D140" s="34" t="s">
        <v>14</v>
      </c>
      <c r="E140" s="20"/>
      <c r="F140" s="20"/>
      <c r="G140" s="20"/>
      <c r="H140" s="13">
        <f t="shared" si="44"/>
        <v>0</v>
      </c>
      <c r="I140" s="26"/>
      <c r="J140" s="26"/>
      <c r="K140" s="26"/>
      <c r="L140" s="26"/>
      <c r="M140" s="15"/>
      <c r="N140" s="15"/>
      <c r="O140" s="15"/>
      <c r="P140" s="15"/>
      <c r="Q140" s="15"/>
      <c r="R140" s="15"/>
      <c r="S140" s="15"/>
    </row>
    <row r="141" spans="1:19" ht="27" customHeight="1">
      <c r="A141" s="53"/>
      <c r="B141" s="53"/>
      <c r="C141" s="61"/>
      <c r="D141" s="34" t="s">
        <v>13</v>
      </c>
      <c r="E141" s="20"/>
      <c r="F141" s="20"/>
      <c r="G141" s="20"/>
      <c r="H141" s="13">
        <f t="shared" si="44"/>
        <v>0</v>
      </c>
      <c r="I141" s="26"/>
      <c r="J141" s="26"/>
      <c r="K141" s="26"/>
      <c r="L141" s="26"/>
      <c r="M141" s="15"/>
      <c r="N141" s="15"/>
      <c r="O141" s="15"/>
      <c r="P141" s="15"/>
      <c r="Q141" s="15"/>
      <c r="R141" s="15"/>
      <c r="S141" s="15"/>
    </row>
    <row r="142" spans="1:19" ht="14.25" customHeight="1">
      <c r="A142" s="9">
        <v>1</v>
      </c>
      <c r="B142" s="9">
        <v>2</v>
      </c>
      <c r="C142" s="9">
        <f aca="true" t="shared" si="46" ref="C142:S142">B142+1</f>
        <v>3</v>
      </c>
      <c r="D142" s="34">
        <f t="shared" si="46"/>
        <v>4</v>
      </c>
      <c r="E142" s="9">
        <f t="shared" si="46"/>
        <v>5</v>
      </c>
      <c r="F142" s="9">
        <f t="shared" si="46"/>
        <v>6</v>
      </c>
      <c r="G142" s="9">
        <f t="shared" si="46"/>
        <v>7</v>
      </c>
      <c r="H142" s="24">
        <f t="shared" si="46"/>
        <v>8</v>
      </c>
      <c r="I142" s="24">
        <f t="shared" si="46"/>
        <v>9</v>
      </c>
      <c r="J142" s="24">
        <f t="shared" si="46"/>
        <v>10</v>
      </c>
      <c r="K142" s="24">
        <f t="shared" si="46"/>
        <v>11</v>
      </c>
      <c r="L142" s="24">
        <f t="shared" si="46"/>
        <v>12</v>
      </c>
      <c r="M142" s="24">
        <f t="shared" si="46"/>
        <v>13</v>
      </c>
      <c r="N142" s="24">
        <f t="shared" si="46"/>
        <v>14</v>
      </c>
      <c r="O142" s="24">
        <f t="shared" si="46"/>
        <v>15</v>
      </c>
      <c r="P142" s="24">
        <f t="shared" si="46"/>
        <v>16</v>
      </c>
      <c r="Q142" s="24">
        <f t="shared" si="46"/>
        <v>17</v>
      </c>
      <c r="R142" s="24">
        <f t="shared" si="46"/>
        <v>18</v>
      </c>
      <c r="S142" s="24">
        <f t="shared" si="46"/>
        <v>19</v>
      </c>
    </row>
    <row r="143" spans="1:19" ht="15" customHeight="1">
      <c r="A143" s="53" t="s">
        <v>198</v>
      </c>
      <c r="B143" s="53" t="s">
        <v>201</v>
      </c>
      <c r="C143" s="61" t="s">
        <v>100</v>
      </c>
      <c r="D143" s="17" t="s">
        <v>2</v>
      </c>
      <c r="E143" s="21"/>
      <c r="F143" s="25"/>
      <c r="G143" s="21" t="s">
        <v>199</v>
      </c>
      <c r="H143" s="13">
        <f t="shared" si="44"/>
        <v>5177.343</v>
      </c>
      <c r="I143" s="23">
        <f>SUM(I144:I149)</f>
        <v>0</v>
      </c>
      <c r="J143" s="23">
        <f>SUM(J144:J149)</f>
        <v>0</v>
      </c>
      <c r="K143" s="23">
        <f>SUM(K144:K149)</f>
        <v>0</v>
      </c>
      <c r="L143" s="23">
        <f>SUM(L144:L149)</f>
        <v>0</v>
      </c>
      <c r="M143" s="13">
        <f>SUM(M144:M149)</f>
        <v>0</v>
      </c>
      <c r="N143" s="13">
        <f aca="true" t="shared" si="47" ref="N143:S143">N144+N145+N149</f>
        <v>5177.343</v>
      </c>
      <c r="O143" s="13">
        <f t="shared" si="47"/>
        <v>0</v>
      </c>
      <c r="P143" s="13">
        <f t="shared" si="47"/>
        <v>0</v>
      </c>
      <c r="Q143" s="13">
        <f t="shared" si="47"/>
        <v>0</v>
      </c>
      <c r="R143" s="13">
        <f t="shared" si="47"/>
        <v>0</v>
      </c>
      <c r="S143" s="13">
        <f t="shared" si="47"/>
        <v>0</v>
      </c>
    </row>
    <row r="144" spans="1:19" ht="27" customHeight="1">
      <c r="A144" s="53"/>
      <c r="B144" s="53"/>
      <c r="C144" s="61"/>
      <c r="D144" s="34" t="s">
        <v>11</v>
      </c>
      <c r="E144" s="20"/>
      <c r="F144" s="20"/>
      <c r="G144" s="20"/>
      <c r="H144" s="13">
        <f t="shared" si="44"/>
        <v>0</v>
      </c>
      <c r="I144" s="26"/>
      <c r="J144" s="26"/>
      <c r="K144" s="26"/>
      <c r="L144" s="26"/>
      <c r="M144" s="15"/>
      <c r="N144" s="15"/>
      <c r="O144" s="15"/>
      <c r="P144" s="15"/>
      <c r="Q144" s="15"/>
      <c r="R144" s="15"/>
      <c r="S144" s="15"/>
    </row>
    <row r="145" spans="1:19" ht="15" customHeight="1">
      <c r="A145" s="53"/>
      <c r="B145" s="53"/>
      <c r="C145" s="61"/>
      <c r="D145" s="62" t="s">
        <v>20</v>
      </c>
      <c r="E145" s="21"/>
      <c r="F145" s="21"/>
      <c r="G145" s="21" t="s">
        <v>199</v>
      </c>
      <c r="H145" s="13">
        <f t="shared" si="44"/>
        <v>5022.023</v>
      </c>
      <c r="I145" s="26"/>
      <c r="J145" s="26"/>
      <c r="K145" s="26"/>
      <c r="L145" s="26"/>
      <c r="M145" s="15"/>
      <c r="N145" s="15">
        <f aca="true" t="shared" si="48" ref="N145:S145">SUM(N146:N148)</f>
        <v>5022.023</v>
      </c>
      <c r="O145" s="15">
        <f t="shared" si="48"/>
        <v>0</v>
      </c>
      <c r="P145" s="15">
        <f t="shared" si="48"/>
        <v>0</v>
      </c>
      <c r="Q145" s="15">
        <f t="shared" si="48"/>
        <v>0</v>
      </c>
      <c r="R145" s="15">
        <f t="shared" si="48"/>
        <v>0</v>
      </c>
      <c r="S145" s="15">
        <f t="shared" si="48"/>
        <v>0</v>
      </c>
    </row>
    <row r="146" spans="1:19" ht="15" customHeight="1">
      <c r="A146" s="53"/>
      <c r="B146" s="53"/>
      <c r="C146" s="61"/>
      <c r="D146" s="62"/>
      <c r="E146" s="21" t="s">
        <v>104</v>
      </c>
      <c r="F146" s="21" t="s">
        <v>121</v>
      </c>
      <c r="G146" s="21" t="s">
        <v>199</v>
      </c>
      <c r="H146" s="13">
        <f t="shared" si="44"/>
        <v>1568.539</v>
      </c>
      <c r="I146" s="26"/>
      <c r="J146" s="26"/>
      <c r="K146" s="26"/>
      <c r="L146" s="26"/>
      <c r="M146" s="15"/>
      <c r="N146" s="15">
        <f>1617.05-N150</f>
        <v>1568.539</v>
      </c>
      <c r="O146" s="15"/>
      <c r="P146" s="15"/>
      <c r="Q146" s="15"/>
      <c r="R146" s="15"/>
      <c r="S146" s="15"/>
    </row>
    <row r="147" spans="1:19" ht="15" customHeight="1">
      <c r="A147" s="53"/>
      <c r="B147" s="53"/>
      <c r="C147" s="61"/>
      <c r="D147" s="62"/>
      <c r="E147" s="21" t="s">
        <v>104</v>
      </c>
      <c r="F147" s="21" t="s">
        <v>127</v>
      </c>
      <c r="G147" s="21" t="s">
        <v>199</v>
      </c>
      <c r="H147" s="13">
        <f t="shared" si="44"/>
        <v>3315.751</v>
      </c>
      <c r="I147" s="26"/>
      <c r="J147" s="26"/>
      <c r="K147" s="26"/>
      <c r="L147" s="26"/>
      <c r="M147" s="15"/>
      <c r="N147" s="15">
        <f>3418.3-N151</f>
        <v>3315.751</v>
      </c>
      <c r="O147" s="15"/>
      <c r="P147" s="15"/>
      <c r="Q147" s="15"/>
      <c r="R147" s="15"/>
      <c r="S147" s="15"/>
    </row>
    <row r="148" spans="1:19" ht="15" customHeight="1">
      <c r="A148" s="53"/>
      <c r="B148" s="53"/>
      <c r="C148" s="61"/>
      <c r="D148" s="62"/>
      <c r="E148" s="21" t="s">
        <v>104</v>
      </c>
      <c r="F148" s="21" t="s">
        <v>129</v>
      </c>
      <c r="G148" s="21" t="s">
        <v>199</v>
      </c>
      <c r="H148" s="13">
        <f t="shared" si="44"/>
        <v>137.733</v>
      </c>
      <c r="I148" s="26"/>
      <c r="J148" s="26"/>
      <c r="K148" s="26"/>
      <c r="L148" s="26"/>
      <c r="M148" s="15"/>
      <c r="N148" s="15">
        <f>141.993-N152</f>
        <v>137.733</v>
      </c>
      <c r="O148" s="15"/>
      <c r="P148" s="15"/>
      <c r="Q148" s="15"/>
      <c r="R148" s="15"/>
      <c r="S148" s="15"/>
    </row>
    <row r="149" spans="1:19" ht="15" customHeight="1">
      <c r="A149" s="53"/>
      <c r="B149" s="53"/>
      <c r="C149" s="61"/>
      <c r="D149" s="62" t="s">
        <v>12</v>
      </c>
      <c r="E149" s="21"/>
      <c r="F149" s="21"/>
      <c r="G149" s="21" t="s">
        <v>199</v>
      </c>
      <c r="H149" s="13">
        <f t="shared" si="44"/>
        <v>155.32</v>
      </c>
      <c r="I149" s="26">
        <f>SUM(I151:I152)</f>
        <v>0</v>
      </c>
      <c r="J149" s="26">
        <f>SUM(J151:J152)</f>
        <v>0</v>
      </c>
      <c r="K149" s="26">
        <f>SUM(K151:K152)</f>
        <v>0</v>
      </c>
      <c r="L149" s="26">
        <f>SUM(L151:L152)</f>
        <v>0</v>
      </c>
      <c r="M149" s="15">
        <f aca="true" t="shared" si="49" ref="M149:S149">SUM(M150:M152)</f>
        <v>0</v>
      </c>
      <c r="N149" s="15">
        <f t="shared" si="49"/>
        <v>155.32</v>
      </c>
      <c r="O149" s="15">
        <f t="shared" si="49"/>
        <v>0</v>
      </c>
      <c r="P149" s="15">
        <f t="shared" si="49"/>
        <v>0</v>
      </c>
      <c r="Q149" s="15">
        <f t="shared" si="49"/>
        <v>0</v>
      </c>
      <c r="R149" s="15">
        <f t="shared" si="49"/>
        <v>0</v>
      </c>
      <c r="S149" s="15">
        <f t="shared" si="49"/>
        <v>0</v>
      </c>
    </row>
    <row r="150" spans="1:19" ht="15" customHeight="1">
      <c r="A150" s="53"/>
      <c r="B150" s="53"/>
      <c r="C150" s="61"/>
      <c r="D150" s="62"/>
      <c r="E150" s="21" t="s">
        <v>104</v>
      </c>
      <c r="F150" s="21" t="s">
        <v>121</v>
      </c>
      <c r="G150" s="21" t="s">
        <v>199</v>
      </c>
      <c r="H150" s="13">
        <f t="shared" si="44"/>
        <v>48.511</v>
      </c>
      <c r="I150" s="26"/>
      <c r="J150" s="26"/>
      <c r="K150" s="26"/>
      <c r="L150" s="26"/>
      <c r="M150" s="15"/>
      <c r="N150" s="15">
        <v>48.511</v>
      </c>
      <c r="O150" s="15"/>
      <c r="P150" s="15"/>
      <c r="Q150" s="15"/>
      <c r="R150" s="15"/>
      <c r="S150" s="15"/>
    </row>
    <row r="151" spans="1:19" ht="15" customHeight="1">
      <c r="A151" s="53"/>
      <c r="B151" s="53"/>
      <c r="C151" s="61"/>
      <c r="D151" s="62"/>
      <c r="E151" s="21" t="s">
        <v>104</v>
      </c>
      <c r="F151" s="21" t="s">
        <v>127</v>
      </c>
      <c r="G151" s="21" t="s">
        <v>199</v>
      </c>
      <c r="H151" s="13">
        <f t="shared" si="44"/>
        <v>102.549</v>
      </c>
      <c r="I151" s="26"/>
      <c r="J151" s="26"/>
      <c r="K151" s="26"/>
      <c r="L151" s="26"/>
      <c r="M151" s="15"/>
      <c r="N151" s="15">
        <v>102.549</v>
      </c>
      <c r="O151" s="15"/>
      <c r="P151" s="15"/>
      <c r="Q151" s="15"/>
      <c r="R151" s="15"/>
      <c r="S151" s="15"/>
    </row>
    <row r="152" spans="1:19" ht="15" customHeight="1">
      <c r="A152" s="53"/>
      <c r="B152" s="53"/>
      <c r="C152" s="61"/>
      <c r="D152" s="62"/>
      <c r="E152" s="21" t="s">
        <v>104</v>
      </c>
      <c r="F152" s="21" t="s">
        <v>129</v>
      </c>
      <c r="G152" s="21" t="s">
        <v>199</v>
      </c>
      <c r="H152" s="13">
        <f t="shared" si="44"/>
        <v>4.26</v>
      </c>
      <c r="I152" s="26"/>
      <c r="J152" s="26"/>
      <c r="K152" s="26"/>
      <c r="L152" s="26"/>
      <c r="M152" s="13"/>
      <c r="N152" s="15">
        <v>4.26</v>
      </c>
      <c r="O152" s="15"/>
      <c r="P152" s="15"/>
      <c r="Q152" s="13"/>
      <c r="R152" s="13"/>
      <c r="S152" s="13"/>
    </row>
    <row r="153" spans="1:19" ht="28.5" customHeight="1">
      <c r="A153" s="53"/>
      <c r="B153" s="53"/>
      <c r="C153" s="61"/>
      <c r="D153" s="34" t="s">
        <v>14</v>
      </c>
      <c r="E153" s="20"/>
      <c r="F153" s="20"/>
      <c r="G153" s="20"/>
      <c r="H153" s="13">
        <f t="shared" si="44"/>
        <v>0</v>
      </c>
      <c r="I153" s="26"/>
      <c r="J153" s="26"/>
      <c r="K153" s="26"/>
      <c r="L153" s="26"/>
      <c r="M153" s="15"/>
      <c r="N153" s="15"/>
      <c r="O153" s="15"/>
      <c r="P153" s="15"/>
      <c r="Q153" s="15"/>
      <c r="R153" s="15"/>
      <c r="S153" s="15"/>
    </row>
    <row r="154" spans="1:19" ht="27" customHeight="1">
      <c r="A154" s="53"/>
      <c r="B154" s="53"/>
      <c r="C154" s="61"/>
      <c r="D154" s="34" t="s">
        <v>13</v>
      </c>
      <c r="E154" s="20"/>
      <c r="F154" s="20"/>
      <c r="G154" s="20"/>
      <c r="H154" s="13">
        <f t="shared" si="44"/>
        <v>0</v>
      </c>
      <c r="I154" s="26"/>
      <c r="J154" s="26"/>
      <c r="K154" s="26"/>
      <c r="L154" s="26"/>
      <c r="M154" s="15"/>
      <c r="N154" s="15"/>
      <c r="O154" s="15"/>
      <c r="P154" s="15"/>
      <c r="Q154" s="15"/>
      <c r="R154" s="15"/>
      <c r="S154" s="15"/>
    </row>
    <row r="155" spans="1:19" ht="27" customHeight="1">
      <c r="A155" s="53" t="s">
        <v>200</v>
      </c>
      <c r="B155" s="53" t="s">
        <v>202</v>
      </c>
      <c r="C155" s="61" t="s">
        <v>100</v>
      </c>
      <c r="D155" s="17" t="s">
        <v>2</v>
      </c>
      <c r="E155" s="21"/>
      <c r="F155" s="20"/>
      <c r="G155" s="21" t="s">
        <v>203</v>
      </c>
      <c r="H155" s="13"/>
      <c r="I155" s="26"/>
      <c r="J155" s="26"/>
      <c r="K155" s="26"/>
      <c r="L155" s="26"/>
      <c r="M155" s="15"/>
      <c r="N155" s="15">
        <f aca="true" t="shared" si="50" ref="N155:S155">N156+N157+N158</f>
        <v>13238.233</v>
      </c>
      <c r="O155" s="15">
        <f t="shared" si="50"/>
        <v>0</v>
      </c>
      <c r="P155" s="15">
        <f t="shared" si="50"/>
        <v>0</v>
      </c>
      <c r="Q155" s="15">
        <f t="shared" si="50"/>
        <v>0</v>
      </c>
      <c r="R155" s="15">
        <f t="shared" si="50"/>
        <v>0</v>
      </c>
      <c r="S155" s="15">
        <f t="shared" si="50"/>
        <v>0</v>
      </c>
    </row>
    <row r="156" spans="1:19" ht="27" customHeight="1">
      <c r="A156" s="53"/>
      <c r="B156" s="53"/>
      <c r="C156" s="61"/>
      <c r="D156" s="34" t="s">
        <v>11</v>
      </c>
      <c r="E156" s="21" t="s">
        <v>104</v>
      </c>
      <c r="F156" s="21" t="s">
        <v>127</v>
      </c>
      <c r="G156" s="20"/>
      <c r="H156" s="13"/>
      <c r="I156" s="26"/>
      <c r="J156" s="26"/>
      <c r="K156" s="26"/>
      <c r="L156" s="26"/>
      <c r="M156" s="15"/>
      <c r="N156" s="15"/>
      <c r="O156" s="15"/>
      <c r="P156" s="15"/>
      <c r="Q156" s="15"/>
      <c r="R156" s="15"/>
      <c r="S156" s="15"/>
    </row>
    <row r="157" spans="1:19" ht="27" customHeight="1">
      <c r="A157" s="53"/>
      <c r="B157" s="53"/>
      <c r="C157" s="61"/>
      <c r="D157" s="34" t="s">
        <v>20</v>
      </c>
      <c r="E157" s="21" t="s">
        <v>104</v>
      </c>
      <c r="F157" s="21" t="s">
        <v>127</v>
      </c>
      <c r="G157" s="21" t="s">
        <v>203</v>
      </c>
      <c r="H157" s="13"/>
      <c r="I157" s="26"/>
      <c r="J157" s="26"/>
      <c r="K157" s="26"/>
      <c r="L157" s="26"/>
      <c r="M157" s="15"/>
      <c r="N157" s="15">
        <v>12841.086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</row>
    <row r="158" spans="1:19" ht="27" customHeight="1">
      <c r="A158" s="53"/>
      <c r="B158" s="53"/>
      <c r="C158" s="61"/>
      <c r="D158" s="34" t="s">
        <v>12</v>
      </c>
      <c r="E158" s="21" t="s">
        <v>104</v>
      </c>
      <c r="F158" s="21" t="s">
        <v>127</v>
      </c>
      <c r="G158" s="21" t="s">
        <v>203</v>
      </c>
      <c r="H158" s="13"/>
      <c r="I158" s="26"/>
      <c r="J158" s="26"/>
      <c r="K158" s="26"/>
      <c r="L158" s="26"/>
      <c r="M158" s="15"/>
      <c r="N158" s="15">
        <v>397.147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</row>
    <row r="159" spans="1:19" ht="27" customHeight="1">
      <c r="A159" s="53"/>
      <c r="B159" s="53"/>
      <c r="C159" s="61"/>
      <c r="D159" s="34" t="s">
        <v>14</v>
      </c>
      <c r="E159" s="20"/>
      <c r="F159" s="20"/>
      <c r="G159" s="20"/>
      <c r="H159" s="13"/>
      <c r="I159" s="26"/>
      <c r="J159" s="26"/>
      <c r="K159" s="26"/>
      <c r="L159" s="26"/>
      <c r="M159" s="15"/>
      <c r="N159" s="15"/>
      <c r="O159" s="15"/>
      <c r="P159" s="15"/>
      <c r="Q159" s="15"/>
      <c r="R159" s="15"/>
      <c r="S159" s="15"/>
    </row>
    <row r="160" spans="1:19" ht="27" customHeight="1">
      <c r="A160" s="53"/>
      <c r="B160" s="53"/>
      <c r="C160" s="61"/>
      <c r="D160" s="34" t="s">
        <v>13</v>
      </c>
      <c r="E160" s="20"/>
      <c r="F160" s="20"/>
      <c r="G160" s="20"/>
      <c r="H160" s="13"/>
      <c r="I160" s="26"/>
      <c r="J160" s="26"/>
      <c r="K160" s="26"/>
      <c r="L160" s="26"/>
      <c r="M160" s="15"/>
      <c r="N160" s="15"/>
      <c r="O160" s="15"/>
      <c r="P160" s="15"/>
      <c r="Q160" s="15"/>
      <c r="R160" s="15"/>
      <c r="S160" s="15"/>
    </row>
    <row r="161" spans="1:19" ht="90.75" customHeight="1">
      <c r="A161" s="6" t="s">
        <v>36</v>
      </c>
      <c r="B161" s="7" t="s">
        <v>39</v>
      </c>
      <c r="C161" s="7"/>
      <c r="D161" s="17" t="s">
        <v>2</v>
      </c>
      <c r="E161" s="21"/>
      <c r="F161" s="25"/>
      <c r="G161" s="21" t="s">
        <v>111</v>
      </c>
      <c r="H161" s="13">
        <f t="shared" si="34"/>
        <v>1902.7679999999998</v>
      </c>
      <c r="I161" s="26">
        <f aca="true" t="shared" si="51" ref="I161:S161">I163+I172+I178</f>
        <v>146.5</v>
      </c>
      <c r="J161" s="26">
        <f t="shared" si="51"/>
        <v>191.5</v>
      </c>
      <c r="K161" s="26">
        <f t="shared" si="51"/>
        <v>79.7</v>
      </c>
      <c r="L161" s="26">
        <f t="shared" si="51"/>
        <v>221.2</v>
      </c>
      <c r="M161" s="15">
        <f t="shared" si="51"/>
        <v>293.70799999999997</v>
      </c>
      <c r="N161" s="15">
        <f t="shared" si="51"/>
        <v>184.72</v>
      </c>
      <c r="O161" s="15">
        <f t="shared" si="51"/>
        <v>184.72</v>
      </c>
      <c r="P161" s="15">
        <f t="shared" si="51"/>
        <v>184.72</v>
      </c>
      <c r="Q161" s="15">
        <f t="shared" si="51"/>
        <v>133.3</v>
      </c>
      <c r="R161" s="15">
        <f t="shared" si="51"/>
        <v>138.6</v>
      </c>
      <c r="S161" s="15">
        <f t="shared" si="51"/>
        <v>144.1</v>
      </c>
    </row>
    <row r="162" spans="1:19" ht="15.75" customHeight="1">
      <c r="A162" s="9">
        <v>1</v>
      </c>
      <c r="B162" s="9">
        <v>2</v>
      </c>
      <c r="C162" s="9">
        <f aca="true" t="shared" si="52" ref="C162:S162">B162+1</f>
        <v>3</v>
      </c>
      <c r="D162" s="34">
        <f t="shared" si="52"/>
        <v>4</v>
      </c>
      <c r="E162" s="9">
        <f t="shared" si="52"/>
        <v>5</v>
      </c>
      <c r="F162" s="9">
        <f t="shared" si="52"/>
        <v>6</v>
      </c>
      <c r="G162" s="9">
        <f t="shared" si="52"/>
        <v>7</v>
      </c>
      <c r="H162" s="24">
        <f t="shared" si="52"/>
        <v>8</v>
      </c>
      <c r="I162" s="24">
        <f t="shared" si="52"/>
        <v>9</v>
      </c>
      <c r="J162" s="24">
        <f t="shared" si="52"/>
        <v>10</v>
      </c>
      <c r="K162" s="24">
        <f t="shared" si="52"/>
        <v>11</v>
      </c>
      <c r="L162" s="24">
        <f t="shared" si="52"/>
        <v>12</v>
      </c>
      <c r="M162" s="24">
        <f t="shared" si="52"/>
        <v>13</v>
      </c>
      <c r="N162" s="24">
        <f t="shared" si="52"/>
        <v>14</v>
      </c>
      <c r="O162" s="24">
        <f t="shared" si="52"/>
        <v>15</v>
      </c>
      <c r="P162" s="24">
        <f t="shared" si="52"/>
        <v>16</v>
      </c>
      <c r="Q162" s="24">
        <f t="shared" si="52"/>
        <v>17</v>
      </c>
      <c r="R162" s="24">
        <f t="shared" si="52"/>
        <v>18</v>
      </c>
      <c r="S162" s="24">
        <f t="shared" si="52"/>
        <v>19</v>
      </c>
    </row>
    <row r="163" spans="1:19" ht="14.25" customHeight="1">
      <c r="A163" s="53" t="s">
        <v>37</v>
      </c>
      <c r="B163" s="53" t="s">
        <v>41</v>
      </c>
      <c r="C163" s="61" t="s">
        <v>100</v>
      </c>
      <c r="D163" s="17" t="s">
        <v>2</v>
      </c>
      <c r="E163" s="21"/>
      <c r="F163" s="25"/>
      <c r="G163" s="21" t="s">
        <v>132</v>
      </c>
      <c r="H163" s="13">
        <f t="shared" si="34"/>
        <v>1043.768</v>
      </c>
      <c r="I163" s="23">
        <f>SUM(I164:I166)</f>
        <v>83.2</v>
      </c>
      <c r="J163" s="23">
        <f aca="true" t="shared" si="53" ref="J163:S163">SUM(J164:J166)</f>
        <v>72.9</v>
      </c>
      <c r="K163" s="23">
        <f t="shared" si="53"/>
        <v>79.7</v>
      </c>
      <c r="L163" s="23">
        <f>SUM(L164:L166)</f>
        <v>137.2</v>
      </c>
      <c r="M163" s="13">
        <f>SUM(M164:M166)</f>
        <v>119.208</v>
      </c>
      <c r="N163" s="13">
        <f t="shared" si="53"/>
        <v>90.22</v>
      </c>
      <c r="O163" s="13">
        <f>SUM(O164:O166)</f>
        <v>90.22</v>
      </c>
      <c r="P163" s="13">
        <f>SUM(P164:P166)</f>
        <v>90.22</v>
      </c>
      <c r="Q163" s="13">
        <f>SUM(Q164:Q166)</f>
        <v>90</v>
      </c>
      <c r="R163" s="13">
        <f t="shared" si="53"/>
        <v>93.6</v>
      </c>
      <c r="S163" s="13">
        <f t="shared" si="53"/>
        <v>97.3</v>
      </c>
    </row>
    <row r="164" spans="1:19" ht="27" customHeight="1">
      <c r="A164" s="53"/>
      <c r="B164" s="53"/>
      <c r="C164" s="61"/>
      <c r="D164" s="34" t="s">
        <v>11</v>
      </c>
      <c r="E164" s="20"/>
      <c r="F164" s="20"/>
      <c r="G164" s="20"/>
      <c r="H164" s="13">
        <f t="shared" si="34"/>
        <v>0</v>
      </c>
      <c r="I164" s="26"/>
      <c r="J164" s="26"/>
      <c r="K164" s="26"/>
      <c r="L164" s="26"/>
      <c r="M164" s="15"/>
      <c r="N164" s="15"/>
      <c r="O164" s="15"/>
      <c r="P164" s="15"/>
      <c r="Q164" s="15"/>
      <c r="R164" s="15"/>
      <c r="S164" s="15"/>
    </row>
    <row r="165" spans="1:19" ht="27" customHeight="1">
      <c r="A165" s="53"/>
      <c r="B165" s="53"/>
      <c r="C165" s="61"/>
      <c r="D165" s="34" t="s">
        <v>20</v>
      </c>
      <c r="E165" s="20"/>
      <c r="F165" s="20"/>
      <c r="G165" s="20"/>
      <c r="H165" s="13">
        <f t="shared" si="34"/>
        <v>0</v>
      </c>
      <c r="I165" s="26"/>
      <c r="J165" s="26"/>
      <c r="K165" s="26"/>
      <c r="L165" s="26"/>
      <c r="M165" s="15"/>
      <c r="N165" s="15"/>
      <c r="O165" s="15"/>
      <c r="P165" s="15"/>
      <c r="Q165" s="15"/>
      <c r="R165" s="15"/>
      <c r="S165" s="15"/>
    </row>
    <row r="166" spans="1:19" ht="14.25" customHeight="1">
      <c r="A166" s="53"/>
      <c r="B166" s="53"/>
      <c r="C166" s="61"/>
      <c r="D166" s="62" t="s">
        <v>12</v>
      </c>
      <c r="E166" s="21"/>
      <c r="F166" s="21"/>
      <c r="G166" s="21" t="s">
        <v>132</v>
      </c>
      <c r="H166" s="13">
        <f t="shared" si="34"/>
        <v>1043.768</v>
      </c>
      <c r="I166" s="26">
        <f>SUM(I168:I169)</f>
        <v>83.2</v>
      </c>
      <c r="J166" s="26">
        <f>SUM(J168:J169)</f>
        <v>72.9</v>
      </c>
      <c r="K166" s="26">
        <f>SUM(K168:K169)</f>
        <v>79.7</v>
      </c>
      <c r="L166" s="26">
        <f>SUM(L168:L169)</f>
        <v>137.2</v>
      </c>
      <c r="M166" s="15">
        <f aca="true" t="shared" si="54" ref="M166:S166">SUM(M167:M169)</f>
        <v>119.208</v>
      </c>
      <c r="N166" s="15">
        <f t="shared" si="54"/>
        <v>90.22</v>
      </c>
      <c r="O166" s="15">
        <f t="shared" si="54"/>
        <v>90.22</v>
      </c>
      <c r="P166" s="15">
        <f t="shared" si="54"/>
        <v>90.22</v>
      </c>
      <c r="Q166" s="15">
        <f t="shared" si="54"/>
        <v>90</v>
      </c>
      <c r="R166" s="15">
        <f t="shared" si="54"/>
        <v>93.6</v>
      </c>
      <c r="S166" s="15">
        <f t="shared" si="54"/>
        <v>97.3</v>
      </c>
    </row>
    <row r="167" spans="1:19" ht="14.25" customHeight="1">
      <c r="A167" s="53"/>
      <c r="B167" s="53"/>
      <c r="C167" s="61"/>
      <c r="D167" s="62"/>
      <c r="E167" s="21" t="s">
        <v>104</v>
      </c>
      <c r="F167" s="21" t="s">
        <v>121</v>
      </c>
      <c r="G167" s="21" t="s">
        <v>132</v>
      </c>
      <c r="H167" s="13">
        <f t="shared" si="34"/>
        <v>30</v>
      </c>
      <c r="I167" s="26"/>
      <c r="J167" s="26"/>
      <c r="K167" s="26"/>
      <c r="L167" s="26"/>
      <c r="M167" s="15">
        <v>30</v>
      </c>
      <c r="N167" s="15"/>
      <c r="O167" s="15"/>
      <c r="P167" s="15"/>
      <c r="Q167" s="15"/>
      <c r="R167" s="15"/>
      <c r="S167" s="15"/>
    </row>
    <row r="168" spans="1:19" ht="14.25" customHeight="1">
      <c r="A168" s="53"/>
      <c r="B168" s="53"/>
      <c r="C168" s="61"/>
      <c r="D168" s="62"/>
      <c r="E168" s="21" t="s">
        <v>104</v>
      </c>
      <c r="F168" s="21" t="s">
        <v>127</v>
      </c>
      <c r="G168" s="21" t="s">
        <v>132</v>
      </c>
      <c r="H168" s="13">
        <f t="shared" si="34"/>
        <v>100</v>
      </c>
      <c r="I168" s="26"/>
      <c r="J168" s="26"/>
      <c r="K168" s="26"/>
      <c r="L168" s="26">
        <v>100</v>
      </c>
      <c r="M168" s="15"/>
      <c r="N168" s="15"/>
      <c r="O168" s="15"/>
      <c r="P168" s="15"/>
      <c r="Q168" s="15"/>
      <c r="R168" s="15"/>
      <c r="S168" s="15"/>
    </row>
    <row r="169" spans="1:19" ht="14.25" customHeight="1">
      <c r="A169" s="53"/>
      <c r="B169" s="53"/>
      <c r="C169" s="61"/>
      <c r="D169" s="62"/>
      <c r="E169" s="21" t="s">
        <v>104</v>
      </c>
      <c r="F169" s="21" t="s">
        <v>120</v>
      </c>
      <c r="G169" s="21" t="s">
        <v>132</v>
      </c>
      <c r="H169" s="13">
        <f t="shared" si="34"/>
        <v>913.768</v>
      </c>
      <c r="I169" s="26">
        <v>83.2</v>
      </c>
      <c r="J169" s="26">
        <v>72.9</v>
      </c>
      <c r="K169" s="26">
        <v>79.7</v>
      </c>
      <c r="L169" s="26">
        <v>37.2</v>
      </c>
      <c r="M169" s="13">
        <v>89.208</v>
      </c>
      <c r="N169" s="15">
        <v>90.22</v>
      </c>
      <c r="O169" s="15">
        <v>90.22</v>
      </c>
      <c r="P169" s="15">
        <v>90.22</v>
      </c>
      <c r="Q169" s="13">
        <v>90</v>
      </c>
      <c r="R169" s="13">
        <v>93.6</v>
      </c>
      <c r="S169" s="13">
        <v>97.3</v>
      </c>
    </row>
    <row r="170" spans="1:19" ht="24" customHeight="1">
      <c r="A170" s="53"/>
      <c r="B170" s="53"/>
      <c r="C170" s="61"/>
      <c r="D170" s="34" t="s">
        <v>14</v>
      </c>
      <c r="E170" s="20"/>
      <c r="F170" s="20"/>
      <c r="G170" s="20"/>
      <c r="H170" s="13">
        <f t="shared" si="34"/>
        <v>0</v>
      </c>
      <c r="I170" s="26"/>
      <c r="J170" s="26"/>
      <c r="K170" s="26"/>
      <c r="L170" s="26"/>
      <c r="M170" s="15"/>
      <c r="N170" s="15"/>
      <c r="O170" s="15"/>
      <c r="P170" s="15"/>
      <c r="Q170" s="15"/>
      <c r="R170" s="15"/>
      <c r="S170" s="15"/>
    </row>
    <row r="171" spans="1:19" ht="26.25" customHeight="1">
      <c r="A171" s="53"/>
      <c r="B171" s="53"/>
      <c r="C171" s="61"/>
      <c r="D171" s="34" t="s">
        <v>13</v>
      </c>
      <c r="E171" s="20"/>
      <c r="F171" s="20"/>
      <c r="G171" s="20"/>
      <c r="H171" s="13">
        <f t="shared" si="34"/>
        <v>0</v>
      </c>
      <c r="I171" s="26"/>
      <c r="J171" s="26"/>
      <c r="K171" s="26"/>
      <c r="L171" s="26"/>
      <c r="M171" s="15"/>
      <c r="N171" s="15"/>
      <c r="O171" s="15"/>
      <c r="P171" s="15"/>
      <c r="Q171" s="15"/>
      <c r="R171" s="15"/>
      <c r="S171" s="15"/>
    </row>
    <row r="172" spans="1:19" ht="16.5" customHeight="1">
      <c r="A172" s="53" t="s">
        <v>38</v>
      </c>
      <c r="B172" s="53" t="s">
        <v>40</v>
      </c>
      <c r="C172" s="61" t="s">
        <v>100</v>
      </c>
      <c r="D172" s="17" t="s">
        <v>2</v>
      </c>
      <c r="E172" s="21"/>
      <c r="F172" s="25"/>
      <c r="G172" s="21" t="s">
        <v>134</v>
      </c>
      <c r="H172" s="13">
        <f t="shared" si="34"/>
        <v>838.9999999999999</v>
      </c>
      <c r="I172" s="23">
        <f aca="true" t="shared" si="55" ref="I172:N172">SUM(I173:I177)</f>
        <v>53.3</v>
      </c>
      <c r="J172" s="23">
        <f t="shared" si="55"/>
        <v>108.6</v>
      </c>
      <c r="K172" s="23">
        <f t="shared" si="55"/>
        <v>0</v>
      </c>
      <c r="L172" s="23">
        <f t="shared" si="55"/>
        <v>84</v>
      </c>
      <c r="M172" s="13">
        <f>SUM(M173:M177)</f>
        <v>174.5</v>
      </c>
      <c r="N172" s="13">
        <f t="shared" si="55"/>
        <v>94.5</v>
      </c>
      <c r="O172" s="13">
        <f>SUM(O173:O177)</f>
        <v>94.5</v>
      </c>
      <c r="P172" s="13">
        <f>SUM(P173:P177)</f>
        <v>94.5</v>
      </c>
      <c r="Q172" s="13">
        <f>SUM(Q173:Q177)</f>
        <v>43.3</v>
      </c>
      <c r="R172" s="13">
        <f>SUM(R173:R177)</f>
        <v>45</v>
      </c>
      <c r="S172" s="13">
        <f>SUM(S173:S177)</f>
        <v>46.8</v>
      </c>
    </row>
    <row r="173" spans="1:19" ht="27" customHeight="1">
      <c r="A173" s="53"/>
      <c r="B173" s="53"/>
      <c r="C173" s="61"/>
      <c r="D173" s="34" t="s">
        <v>11</v>
      </c>
      <c r="E173" s="20"/>
      <c r="F173" s="20"/>
      <c r="G173" s="20"/>
      <c r="H173" s="13">
        <f t="shared" si="34"/>
        <v>0</v>
      </c>
      <c r="I173" s="26"/>
      <c r="J173" s="26"/>
      <c r="K173" s="26"/>
      <c r="L173" s="26"/>
      <c r="M173" s="15"/>
      <c r="N173" s="15"/>
      <c r="O173" s="15"/>
      <c r="P173" s="15"/>
      <c r="Q173" s="15"/>
      <c r="R173" s="15"/>
      <c r="S173" s="15"/>
    </row>
    <row r="174" spans="1:19" ht="27" customHeight="1">
      <c r="A174" s="53"/>
      <c r="B174" s="53"/>
      <c r="C174" s="61"/>
      <c r="D174" s="34" t="s">
        <v>20</v>
      </c>
      <c r="E174" s="20"/>
      <c r="F174" s="20"/>
      <c r="G174" s="20"/>
      <c r="H174" s="13">
        <f t="shared" si="34"/>
        <v>0</v>
      </c>
      <c r="I174" s="26"/>
      <c r="J174" s="26"/>
      <c r="K174" s="26"/>
      <c r="L174" s="26"/>
      <c r="M174" s="15"/>
      <c r="N174" s="15"/>
      <c r="O174" s="15"/>
      <c r="P174" s="15"/>
      <c r="Q174" s="15"/>
      <c r="R174" s="15"/>
      <c r="S174" s="15"/>
    </row>
    <row r="175" spans="1:19" ht="27" customHeight="1">
      <c r="A175" s="53"/>
      <c r="B175" s="53"/>
      <c r="C175" s="61"/>
      <c r="D175" s="34" t="s">
        <v>12</v>
      </c>
      <c r="E175" s="21" t="s">
        <v>104</v>
      </c>
      <c r="F175" s="21" t="s">
        <v>133</v>
      </c>
      <c r="G175" s="21" t="s">
        <v>134</v>
      </c>
      <c r="H175" s="13">
        <f t="shared" si="34"/>
        <v>838.9999999999999</v>
      </c>
      <c r="I175" s="26">
        <v>53.3</v>
      </c>
      <c r="J175" s="26">
        <v>108.6</v>
      </c>
      <c r="K175" s="26">
        <v>0</v>
      </c>
      <c r="L175" s="26">
        <v>84</v>
      </c>
      <c r="M175" s="13">
        <v>174.5</v>
      </c>
      <c r="N175" s="15">
        <v>94.5</v>
      </c>
      <c r="O175" s="15">
        <v>94.5</v>
      </c>
      <c r="P175" s="15">
        <v>94.5</v>
      </c>
      <c r="Q175" s="13">
        <v>43.3</v>
      </c>
      <c r="R175" s="13">
        <v>45</v>
      </c>
      <c r="S175" s="13">
        <v>46.8</v>
      </c>
    </row>
    <row r="176" spans="1:19" ht="24.75" customHeight="1">
      <c r="A176" s="53"/>
      <c r="B176" s="53"/>
      <c r="C176" s="61"/>
      <c r="D176" s="34" t="s">
        <v>14</v>
      </c>
      <c r="E176" s="20"/>
      <c r="F176" s="20"/>
      <c r="G176" s="20"/>
      <c r="H176" s="13">
        <f t="shared" si="34"/>
        <v>0</v>
      </c>
      <c r="I176" s="26"/>
      <c r="J176" s="26"/>
      <c r="K176" s="26"/>
      <c r="L176" s="26"/>
      <c r="M176" s="15"/>
      <c r="N176" s="15"/>
      <c r="O176" s="15"/>
      <c r="P176" s="15"/>
      <c r="Q176" s="15"/>
      <c r="R176" s="15"/>
      <c r="S176" s="15"/>
    </row>
    <row r="177" spans="1:19" ht="24.75" customHeight="1">
      <c r="A177" s="53"/>
      <c r="B177" s="53"/>
      <c r="C177" s="61"/>
      <c r="D177" s="34" t="s">
        <v>13</v>
      </c>
      <c r="E177" s="20"/>
      <c r="F177" s="20"/>
      <c r="G177" s="20"/>
      <c r="H177" s="13">
        <f t="shared" si="34"/>
        <v>0</v>
      </c>
      <c r="I177" s="26"/>
      <c r="J177" s="26"/>
      <c r="K177" s="26"/>
      <c r="L177" s="26"/>
      <c r="M177" s="15"/>
      <c r="N177" s="15"/>
      <c r="O177" s="15"/>
      <c r="P177" s="15"/>
      <c r="Q177" s="15"/>
      <c r="R177" s="15"/>
      <c r="S177" s="15"/>
    </row>
    <row r="178" spans="1:19" ht="13.5" customHeight="1">
      <c r="A178" s="53" t="s">
        <v>42</v>
      </c>
      <c r="B178" s="53" t="s">
        <v>182</v>
      </c>
      <c r="C178" s="61" t="s">
        <v>100</v>
      </c>
      <c r="D178" s="17" t="s">
        <v>2</v>
      </c>
      <c r="E178" s="21"/>
      <c r="F178" s="25"/>
      <c r="G178" s="21" t="s">
        <v>135</v>
      </c>
      <c r="H178" s="13">
        <f t="shared" si="34"/>
        <v>20</v>
      </c>
      <c r="I178" s="23">
        <f aca="true" t="shared" si="56" ref="I178:N178">SUM(I179:I183)</f>
        <v>10</v>
      </c>
      <c r="J178" s="23">
        <f t="shared" si="56"/>
        <v>10</v>
      </c>
      <c r="K178" s="23">
        <f t="shared" si="56"/>
        <v>0</v>
      </c>
      <c r="L178" s="23">
        <f t="shared" si="56"/>
        <v>0</v>
      </c>
      <c r="M178" s="13">
        <f>SUM(M179:M183)</f>
        <v>0</v>
      </c>
      <c r="N178" s="13">
        <f t="shared" si="56"/>
        <v>0</v>
      </c>
      <c r="O178" s="13">
        <f>SUM(O179:O183)</f>
        <v>0</v>
      </c>
      <c r="P178" s="13">
        <v>0</v>
      </c>
      <c r="Q178" s="13">
        <v>0</v>
      </c>
      <c r="R178" s="13">
        <v>0</v>
      </c>
      <c r="S178" s="13">
        <v>0</v>
      </c>
    </row>
    <row r="179" spans="1:19" ht="27" customHeight="1">
      <c r="A179" s="53"/>
      <c r="B179" s="53"/>
      <c r="C179" s="61"/>
      <c r="D179" s="34" t="s">
        <v>11</v>
      </c>
      <c r="E179" s="20"/>
      <c r="F179" s="20"/>
      <c r="G179" s="20"/>
      <c r="H179" s="13">
        <f t="shared" si="34"/>
        <v>0</v>
      </c>
      <c r="I179" s="26"/>
      <c r="J179" s="26"/>
      <c r="K179" s="26"/>
      <c r="L179" s="26"/>
      <c r="M179" s="15"/>
      <c r="N179" s="15"/>
      <c r="O179" s="15"/>
      <c r="P179" s="15"/>
      <c r="Q179" s="15"/>
      <c r="R179" s="15"/>
      <c r="S179" s="15"/>
    </row>
    <row r="180" spans="1:19" ht="27" customHeight="1">
      <c r="A180" s="53"/>
      <c r="B180" s="53"/>
      <c r="C180" s="61"/>
      <c r="D180" s="34" t="s">
        <v>20</v>
      </c>
      <c r="E180" s="20"/>
      <c r="F180" s="20"/>
      <c r="G180" s="20"/>
      <c r="H180" s="13">
        <f t="shared" si="34"/>
        <v>0</v>
      </c>
      <c r="I180" s="26"/>
      <c r="J180" s="26"/>
      <c r="K180" s="26"/>
      <c r="L180" s="26"/>
      <c r="M180" s="15"/>
      <c r="N180" s="15"/>
      <c r="O180" s="15"/>
      <c r="P180" s="15"/>
      <c r="Q180" s="15"/>
      <c r="R180" s="15"/>
      <c r="S180" s="15"/>
    </row>
    <row r="181" spans="1:19" ht="27" customHeight="1">
      <c r="A181" s="53"/>
      <c r="B181" s="53"/>
      <c r="C181" s="61"/>
      <c r="D181" s="34" t="s">
        <v>12</v>
      </c>
      <c r="E181" s="21" t="s">
        <v>104</v>
      </c>
      <c r="F181" s="21" t="s">
        <v>133</v>
      </c>
      <c r="G181" s="21" t="s">
        <v>135</v>
      </c>
      <c r="H181" s="13">
        <f t="shared" si="34"/>
        <v>20</v>
      </c>
      <c r="I181" s="26">
        <v>10</v>
      </c>
      <c r="J181" s="26">
        <v>10</v>
      </c>
      <c r="K181" s="26">
        <v>0</v>
      </c>
      <c r="L181" s="26">
        <v>0</v>
      </c>
      <c r="M181" s="13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</row>
    <row r="182" spans="1:19" ht="27" customHeight="1">
      <c r="A182" s="53"/>
      <c r="B182" s="53"/>
      <c r="C182" s="61"/>
      <c r="D182" s="34" t="s">
        <v>14</v>
      </c>
      <c r="E182" s="20"/>
      <c r="F182" s="20"/>
      <c r="G182" s="20"/>
      <c r="H182" s="13">
        <f t="shared" si="34"/>
        <v>0</v>
      </c>
      <c r="I182" s="26"/>
      <c r="J182" s="26"/>
      <c r="K182" s="26"/>
      <c r="L182" s="26"/>
      <c r="M182" s="15"/>
      <c r="N182" s="15"/>
      <c r="O182" s="15"/>
      <c r="P182" s="15"/>
      <c r="Q182" s="15"/>
      <c r="R182" s="15"/>
      <c r="S182" s="15"/>
    </row>
    <row r="183" spans="1:19" ht="27" customHeight="1">
      <c r="A183" s="53"/>
      <c r="B183" s="53"/>
      <c r="C183" s="61"/>
      <c r="D183" s="34" t="s">
        <v>13</v>
      </c>
      <c r="E183" s="20"/>
      <c r="F183" s="20"/>
      <c r="G183" s="20"/>
      <c r="H183" s="13">
        <f t="shared" si="34"/>
        <v>0</v>
      </c>
      <c r="I183" s="26"/>
      <c r="J183" s="26"/>
      <c r="K183" s="26"/>
      <c r="L183" s="26"/>
      <c r="M183" s="15"/>
      <c r="N183" s="15"/>
      <c r="O183" s="15"/>
      <c r="P183" s="15"/>
      <c r="Q183" s="15"/>
      <c r="R183" s="15"/>
      <c r="S183" s="15"/>
    </row>
    <row r="184" spans="1:19" ht="60" customHeight="1">
      <c r="A184" s="6" t="s">
        <v>171</v>
      </c>
      <c r="B184" s="7" t="s">
        <v>178</v>
      </c>
      <c r="C184" s="7"/>
      <c r="D184" s="17" t="s">
        <v>2</v>
      </c>
      <c r="E184" s="21" t="s">
        <v>104</v>
      </c>
      <c r="F184" s="25"/>
      <c r="G184" s="21" t="s">
        <v>174</v>
      </c>
      <c r="H184" s="13">
        <f t="shared" si="34"/>
        <v>2316.1790000000005</v>
      </c>
      <c r="I184" s="26">
        <f>I186</f>
        <v>0</v>
      </c>
      <c r="J184" s="26">
        <f aca="true" t="shared" si="57" ref="J184:S184">J186</f>
        <v>0</v>
      </c>
      <c r="K184" s="26">
        <f t="shared" si="57"/>
        <v>0</v>
      </c>
      <c r="L184" s="26">
        <f t="shared" si="57"/>
        <v>0</v>
      </c>
      <c r="M184" s="15">
        <f>M186</f>
        <v>2316.1790000000005</v>
      </c>
      <c r="N184" s="15">
        <f t="shared" si="57"/>
        <v>0</v>
      </c>
      <c r="O184" s="15">
        <f>O186</f>
        <v>0</v>
      </c>
      <c r="P184" s="15">
        <f>P186</f>
        <v>0</v>
      </c>
      <c r="Q184" s="15">
        <f>Q186</f>
        <v>0</v>
      </c>
      <c r="R184" s="15">
        <f t="shared" si="57"/>
        <v>0</v>
      </c>
      <c r="S184" s="15">
        <f t="shared" si="57"/>
        <v>0</v>
      </c>
    </row>
    <row r="185" spans="1:19" ht="15" customHeight="1">
      <c r="A185" s="9">
        <v>1</v>
      </c>
      <c r="B185" s="9">
        <v>2</v>
      </c>
      <c r="C185" s="9">
        <f aca="true" t="shared" si="58" ref="C185:S185">B185+1</f>
        <v>3</v>
      </c>
      <c r="D185" s="34">
        <f t="shared" si="58"/>
        <v>4</v>
      </c>
      <c r="E185" s="9">
        <f t="shared" si="58"/>
        <v>5</v>
      </c>
      <c r="F185" s="9">
        <f t="shared" si="58"/>
        <v>6</v>
      </c>
      <c r="G185" s="9">
        <f t="shared" si="58"/>
        <v>7</v>
      </c>
      <c r="H185" s="24">
        <f t="shared" si="58"/>
        <v>8</v>
      </c>
      <c r="I185" s="24">
        <f t="shared" si="58"/>
        <v>9</v>
      </c>
      <c r="J185" s="24">
        <f t="shared" si="58"/>
        <v>10</v>
      </c>
      <c r="K185" s="24">
        <f t="shared" si="58"/>
        <v>11</v>
      </c>
      <c r="L185" s="24">
        <f t="shared" si="58"/>
        <v>12</v>
      </c>
      <c r="M185" s="24">
        <f t="shared" si="58"/>
        <v>13</v>
      </c>
      <c r="N185" s="24">
        <f t="shared" si="58"/>
        <v>14</v>
      </c>
      <c r="O185" s="24">
        <f t="shared" si="58"/>
        <v>15</v>
      </c>
      <c r="P185" s="24">
        <f t="shared" si="58"/>
        <v>16</v>
      </c>
      <c r="Q185" s="24">
        <f t="shared" si="58"/>
        <v>17</v>
      </c>
      <c r="R185" s="24">
        <f t="shared" si="58"/>
        <v>18</v>
      </c>
      <c r="S185" s="24">
        <f t="shared" si="58"/>
        <v>19</v>
      </c>
    </row>
    <row r="186" spans="1:19" ht="15" customHeight="1">
      <c r="A186" s="53" t="s">
        <v>172</v>
      </c>
      <c r="B186" s="53" t="s">
        <v>170</v>
      </c>
      <c r="C186" s="61" t="s">
        <v>100</v>
      </c>
      <c r="D186" s="17" t="s">
        <v>2</v>
      </c>
      <c r="E186" s="21"/>
      <c r="F186" s="20"/>
      <c r="G186" s="21" t="s">
        <v>173</v>
      </c>
      <c r="H186" s="13">
        <f t="shared" si="34"/>
        <v>2316.1790000000005</v>
      </c>
      <c r="I186" s="23">
        <f aca="true" t="shared" si="59" ref="I186:N186">SUM(I187:I191)</f>
        <v>0</v>
      </c>
      <c r="J186" s="23">
        <f t="shared" si="59"/>
        <v>0</v>
      </c>
      <c r="K186" s="23">
        <f t="shared" si="59"/>
        <v>0</v>
      </c>
      <c r="L186" s="23">
        <f t="shared" si="59"/>
        <v>0</v>
      </c>
      <c r="M186" s="13">
        <f>SUM(M187:M191)</f>
        <v>2316.1790000000005</v>
      </c>
      <c r="N186" s="13">
        <f t="shared" si="59"/>
        <v>0</v>
      </c>
      <c r="O186" s="13">
        <f>SUM(O187:O191)</f>
        <v>0</v>
      </c>
      <c r="P186" s="13">
        <f>SUM(P187:P191)</f>
        <v>0</v>
      </c>
      <c r="Q186" s="13">
        <f>SUM(Q187:Q191)</f>
        <v>0</v>
      </c>
      <c r="R186" s="13">
        <f>SUM(R187:R191)</f>
        <v>0</v>
      </c>
      <c r="S186" s="13">
        <f>SUM(S187:S191)</f>
        <v>0</v>
      </c>
    </row>
    <row r="187" spans="1:19" ht="27" customHeight="1">
      <c r="A187" s="53"/>
      <c r="B187" s="53"/>
      <c r="C187" s="61"/>
      <c r="D187" s="34" t="s">
        <v>11</v>
      </c>
      <c r="E187" s="21" t="s">
        <v>104</v>
      </c>
      <c r="F187" s="21" t="s">
        <v>127</v>
      </c>
      <c r="G187" s="21" t="s">
        <v>173</v>
      </c>
      <c r="H187" s="13">
        <f t="shared" si="34"/>
        <v>2134.36</v>
      </c>
      <c r="I187" s="26"/>
      <c r="J187" s="26"/>
      <c r="K187" s="26"/>
      <c r="L187" s="26"/>
      <c r="M187" s="13">
        <v>2134.36</v>
      </c>
      <c r="N187" s="15"/>
      <c r="O187" s="15"/>
      <c r="P187" s="15"/>
      <c r="Q187" s="15"/>
      <c r="R187" s="15"/>
      <c r="S187" s="15"/>
    </row>
    <row r="188" spans="1:19" ht="27" customHeight="1">
      <c r="A188" s="53"/>
      <c r="B188" s="53"/>
      <c r="C188" s="61"/>
      <c r="D188" s="34" t="s">
        <v>20</v>
      </c>
      <c r="E188" s="21" t="s">
        <v>104</v>
      </c>
      <c r="F188" s="21" t="s">
        <v>127</v>
      </c>
      <c r="G188" s="21" t="s">
        <v>173</v>
      </c>
      <c r="H188" s="13">
        <f t="shared" si="34"/>
        <v>66.01</v>
      </c>
      <c r="I188" s="26"/>
      <c r="J188" s="26"/>
      <c r="K188" s="26"/>
      <c r="L188" s="26"/>
      <c r="M188" s="13">
        <v>66.01</v>
      </c>
      <c r="N188" s="15"/>
      <c r="O188" s="15"/>
      <c r="P188" s="15"/>
      <c r="Q188" s="15"/>
      <c r="R188" s="15"/>
      <c r="S188" s="15"/>
    </row>
    <row r="189" spans="1:19" ht="27" customHeight="1">
      <c r="A189" s="53"/>
      <c r="B189" s="53"/>
      <c r="C189" s="61"/>
      <c r="D189" s="34" t="s">
        <v>12</v>
      </c>
      <c r="E189" s="21" t="s">
        <v>104</v>
      </c>
      <c r="F189" s="21" t="s">
        <v>127</v>
      </c>
      <c r="G189" s="21" t="s">
        <v>173</v>
      </c>
      <c r="H189" s="13">
        <f t="shared" si="34"/>
        <v>115.809</v>
      </c>
      <c r="I189" s="26"/>
      <c r="J189" s="26"/>
      <c r="K189" s="26"/>
      <c r="L189" s="26"/>
      <c r="M189" s="13">
        <v>115.809</v>
      </c>
      <c r="N189" s="15">
        <f>115.8-115.8</f>
        <v>0</v>
      </c>
      <c r="O189" s="15">
        <v>0</v>
      </c>
      <c r="P189" s="13">
        <v>0</v>
      </c>
      <c r="Q189" s="13">
        <v>0</v>
      </c>
      <c r="R189" s="13">
        <v>0</v>
      </c>
      <c r="S189" s="13">
        <v>0</v>
      </c>
    </row>
    <row r="190" spans="1:19" ht="27" customHeight="1">
      <c r="A190" s="53"/>
      <c r="B190" s="53"/>
      <c r="C190" s="61"/>
      <c r="D190" s="34" t="s">
        <v>14</v>
      </c>
      <c r="E190" s="20"/>
      <c r="F190" s="20"/>
      <c r="G190" s="20"/>
      <c r="H190" s="13">
        <f t="shared" si="34"/>
        <v>0</v>
      </c>
      <c r="I190" s="26"/>
      <c r="J190" s="26"/>
      <c r="K190" s="26"/>
      <c r="L190" s="26"/>
      <c r="M190" s="15"/>
      <c r="N190" s="15"/>
      <c r="O190" s="15"/>
      <c r="P190" s="15"/>
      <c r="Q190" s="15"/>
      <c r="R190" s="15"/>
      <c r="S190" s="15"/>
    </row>
    <row r="191" spans="1:19" ht="27" customHeight="1">
      <c r="A191" s="53"/>
      <c r="B191" s="53"/>
      <c r="C191" s="61"/>
      <c r="D191" s="34" t="s">
        <v>13</v>
      </c>
      <c r="E191" s="20"/>
      <c r="F191" s="20"/>
      <c r="G191" s="20"/>
      <c r="H191" s="13">
        <f t="shared" si="34"/>
        <v>0</v>
      </c>
      <c r="I191" s="26"/>
      <c r="J191" s="26"/>
      <c r="K191" s="26"/>
      <c r="L191" s="26"/>
      <c r="M191" s="15"/>
      <c r="N191" s="15"/>
      <c r="O191" s="15"/>
      <c r="P191" s="15"/>
      <c r="Q191" s="15"/>
      <c r="R191" s="15"/>
      <c r="S191" s="15"/>
    </row>
    <row r="192" spans="1:19" ht="46.5" customHeight="1">
      <c r="A192" s="6" t="s">
        <v>180</v>
      </c>
      <c r="B192" s="7" t="s">
        <v>192</v>
      </c>
      <c r="C192" s="7"/>
      <c r="D192" s="17" t="s">
        <v>2</v>
      </c>
      <c r="E192" s="21" t="s">
        <v>104</v>
      </c>
      <c r="F192" s="25"/>
      <c r="G192" s="21" t="s">
        <v>188</v>
      </c>
      <c r="H192" s="13">
        <f>I192+J192+K192+L192+M192+N192+O192+P192+Q192+R192+S192</f>
        <v>2000</v>
      </c>
      <c r="I192" s="26">
        <f>I193</f>
        <v>0</v>
      </c>
      <c r="J192" s="26">
        <f aca="true" t="shared" si="60" ref="J192:S192">J193</f>
        <v>0</v>
      </c>
      <c r="K192" s="26">
        <f t="shared" si="60"/>
        <v>0</v>
      </c>
      <c r="L192" s="26">
        <f t="shared" si="60"/>
        <v>0</v>
      </c>
      <c r="M192" s="15">
        <f>M193</f>
        <v>0</v>
      </c>
      <c r="N192" s="15">
        <f>N193</f>
        <v>2000</v>
      </c>
      <c r="O192" s="15">
        <f>O193</f>
        <v>0</v>
      </c>
      <c r="P192" s="15">
        <f>P193</f>
        <v>0</v>
      </c>
      <c r="Q192" s="15">
        <f>Q193</f>
        <v>0</v>
      </c>
      <c r="R192" s="15">
        <f t="shared" si="60"/>
        <v>0</v>
      </c>
      <c r="S192" s="15">
        <f t="shared" si="60"/>
        <v>0</v>
      </c>
    </row>
    <row r="193" spans="1:19" ht="14.25" customHeight="1">
      <c r="A193" s="53" t="s">
        <v>181</v>
      </c>
      <c r="B193" s="53" t="s">
        <v>193</v>
      </c>
      <c r="C193" s="61" t="s">
        <v>100</v>
      </c>
      <c r="D193" s="17" t="s">
        <v>2</v>
      </c>
      <c r="E193" s="21"/>
      <c r="F193" s="20"/>
      <c r="G193" s="21" t="s">
        <v>189</v>
      </c>
      <c r="H193" s="13">
        <f aca="true" t="shared" si="61" ref="H193:H198">I193+J193+K193+L193+M193+N193+O193+P193+Q193+R193+S193</f>
        <v>2000</v>
      </c>
      <c r="I193" s="23">
        <f aca="true" t="shared" si="62" ref="I193:S193">SUM(I194:I198)</f>
        <v>0</v>
      </c>
      <c r="J193" s="23">
        <f t="shared" si="62"/>
        <v>0</v>
      </c>
      <c r="K193" s="23">
        <f t="shared" si="62"/>
        <v>0</v>
      </c>
      <c r="L193" s="23">
        <f t="shared" si="62"/>
        <v>0</v>
      </c>
      <c r="M193" s="13">
        <f t="shared" si="62"/>
        <v>0</v>
      </c>
      <c r="N193" s="13">
        <f t="shared" si="62"/>
        <v>2000</v>
      </c>
      <c r="O193" s="13">
        <f t="shared" si="62"/>
        <v>0</v>
      </c>
      <c r="P193" s="13">
        <f t="shared" si="62"/>
        <v>0</v>
      </c>
      <c r="Q193" s="13">
        <f t="shared" si="62"/>
        <v>0</v>
      </c>
      <c r="R193" s="13">
        <f t="shared" si="62"/>
        <v>0</v>
      </c>
      <c r="S193" s="13">
        <f t="shared" si="62"/>
        <v>0</v>
      </c>
    </row>
    <row r="194" spans="1:19" ht="27.75" customHeight="1">
      <c r="A194" s="53"/>
      <c r="B194" s="53"/>
      <c r="C194" s="61"/>
      <c r="D194" s="34" t="s">
        <v>11</v>
      </c>
      <c r="E194" s="21" t="s">
        <v>104</v>
      </c>
      <c r="F194" s="21" t="s">
        <v>127</v>
      </c>
      <c r="G194" s="21" t="s">
        <v>190</v>
      </c>
      <c r="H194" s="13">
        <f t="shared" si="61"/>
        <v>1649</v>
      </c>
      <c r="I194" s="26"/>
      <c r="J194" s="26"/>
      <c r="K194" s="26"/>
      <c r="L194" s="26"/>
      <c r="M194" s="13"/>
      <c r="N194" s="15">
        <v>1649</v>
      </c>
      <c r="O194" s="15"/>
      <c r="P194" s="15"/>
      <c r="Q194" s="15"/>
      <c r="R194" s="15"/>
      <c r="S194" s="15"/>
    </row>
    <row r="195" spans="1:19" ht="27.75" customHeight="1">
      <c r="A195" s="53"/>
      <c r="B195" s="53"/>
      <c r="C195" s="61"/>
      <c r="D195" s="34" t="s">
        <v>20</v>
      </c>
      <c r="E195" s="21" t="s">
        <v>104</v>
      </c>
      <c r="F195" s="21" t="s">
        <v>127</v>
      </c>
      <c r="G195" s="21" t="s">
        <v>190</v>
      </c>
      <c r="H195" s="13">
        <f t="shared" si="61"/>
        <v>291</v>
      </c>
      <c r="I195" s="26"/>
      <c r="J195" s="26"/>
      <c r="K195" s="26"/>
      <c r="L195" s="26"/>
      <c r="M195" s="13"/>
      <c r="N195" s="15">
        <v>291</v>
      </c>
      <c r="O195" s="15"/>
      <c r="P195" s="15"/>
      <c r="Q195" s="15"/>
      <c r="R195" s="15"/>
      <c r="S195" s="15"/>
    </row>
    <row r="196" spans="1:19" ht="27.75" customHeight="1">
      <c r="A196" s="53"/>
      <c r="B196" s="53"/>
      <c r="C196" s="61"/>
      <c r="D196" s="34" t="s">
        <v>12</v>
      </c>
      <c r="E196" s="21" t="s">
        <v>104</v>
      </c>
      <c r="F196" s="21" t="s">
        <v>127</v>
      </c>
      <c r="G196" s="21" t="s">
        <v>190</v>
      </c>
      <c r="H196" s="13">
        <f t="shared" si="61"/>
        <v>60</v>
      </c>
      <c r="I196" s="26"/>
      <c r="J196" s="26"/>
      <c r="K196" s="26"/>
      <c r="L196" s="26"/>
      <c r="M196" s="13"/>
      <c r="N196" s="15">
        <v>60</v>
      </c>
      <c r="O196" s="15">
        <v>0</v>
      </c>
      <c r="P196" s="13">
        <v>0</v>
      </c>
      <c r="Q196" s="13">
        <v>0</v>
      </c>
      <c r="R196" s="13">
        <v>0</v>
      </c>
      <c r="S196" s="13">
        <v>0</v>
      </c>
    </row>
    <row r="197" spans="1:19" ht="27.75" customHeight="1">
      <c r="A197" s="53"/>
      <c r="B197" s="53"/>
      <c r="C197" s="61"/>
      <c r="D197" s="34" t="s">
        <v>14</v>
      </c>
      <c r="E197" s="20"/>
      <c r="F197" s="20"/>
      <c r="G197" s="20"/>
      <c r="H197" s="13">
        <f t="shared" si="61"/>
        <v>0</v>
      </c>
      <c r="I197" s="26"/>
      <c r="J197" s="26"/>
      <c r="K197" s="26"/>
      <c r="L197" s="26"/>
      <c r="M197" s="15"/>
      <c r="N197" s="15"/>
      <c r="O197" s="15"/>
      <c r="P197" s="15"/>
      <c r="Q197" s="15"/>
      <c r="R197" s="15"/>
      <c r="S197" s="15"/>
    </row>
    <row r="198" spans="1:19" ht="27.75" customHeight="1">
      <c r="A198" s="53"/>
      <c r="B198" s="53"/>
      <c r="C198" s="61"/>
      <c r="D198" s="34" t="s">
        <v>13</v>
      </c>
      <c r="E198" s="20"/>
      <c r="F198" s="20"/>
      <c r="G198" s="20"/>
      <c r="H198" s="13">
        <f t="shared" si="61"/>
        <v>0</v>
      </c>
      <c r="I198" s="26"/>
      <c r="J198" s="26"/>
      <c r="K198" s="26"/>
      <c r="L198" s="26"/>
      <c r="M198" s="15"/>
      <c r="N198" s="15"/>
      <c r="O198" s="15"/>
      <c r="P198" s="15"/>
      <c r="Q198" s="15"/>
      <c r="R198" s="15"/>
      <c r="S198" s="15"/>
    </row>
    <row r="199" spans="1:19" ht="14.25" customHeight="1">
      <c r="A199" s="53" t="s">
        <v>43</v>
      </c>
      <c r="B199" s="53" t="s">
        <v>44</v>
      </c>
      <c r="C199" s="61" t="s">
        <v>100</v>
      </c>
      <c r="D199" s="17" t="s">
        <v>2</v>
      </c>
      <c r="E199" s="21"/>
      <c r="F199" s="25"/>
      <c r="G199" s="21" t="s">
        <v>112</v>
      </c>
      <c r="H199" s="13">
        <f t="shared" si="34"/>
        <v>178970.85399999996</v>
      </c>
      <c r="I199" s="23">
        <f aca="true" t="shared" si="63" ref="I199:S199">SUM(I200:I204)</f>
        <v>15307.3</v>
      </c>
      <c r="J199" s="23">
        <f t="shared" si="63"/>
        <v>16722</v>
      </c>
      <c r="K199" s="23">
        <f t="shared" si="63"/>
        <v>15704.900000000001</v>
      </c>
      <c r="L199" s="23">
        <f t="shared" si="63"/>
        <v>15498.7</v>
      </c>
      <c r="M199" s="13">
        <f>SUM(M200:M204)</f>
        <v>13915.373</v>
      </c>
      <c r="N199" s="13">
        <f t="shared" si="63"/>
        <v>15357.866000000002</v>
      </c>
      <c r="O199" s="13">
        <f>SUM(O200:O204)</f>
        <v>16525.313000000002</v>
      </c>
      <c r="P199" s="13">
        <f>SUM(P200:P204)</f>
        <v>16554.302</v>
      </c>
      <c r="Q199" s="13">
        <f>SUM(Q200:Q204)</f>
        <v>17101.8</v>
      </c>
      <c r="R199" s="13">
        <f t="shared" si="63"/>
        <v>17786</v>
      </c>
      <c r="S199" s="13">
        <f t="shared" si="63"/>
        <v>18497.3</v>
      </c>
    </row>
    <row r="200" spans="1:19" ht="27" customHeight="1">
      <c r="A200" s="53"/>
      <c r="B200" s="53"/>
      <c r="C200" s="61"/>
      <c r="D200" s="34" t="s">
        <v>11</v>
      </c>
      <c r="E200" s="20"/>
      <c r="F200" s="20"/>
      <c r="G200" s="20"/>
      <c r="H200" s="13">
        <f t="shared" si="34"/>
        <v>0</v>
      </c>
      <c r="I200" s="26">
        <f aca="true" t="shared" si="64" ref="I200:S200">I208+I218+I231+I244+I256+I262+I268+I281</f>
        <v>0</v>
      </c>
      <c r="J200" s="26">
        <f t="shared" si="64"/>
        <v>0</v>
      </c>
      <c r="K200" s="26">
        <f t="shared" si="64"/>
        <v>0</v>
      </c>
      <c r="L200" s="26">
        <f t="shared" si="64"/>
        <v>0</v>
      </c>
      <c r="M200" s="15">
        <f t="shared" si="64"/>
        <v>0</v>
      </c>
      <c r="N200" s="15">
        <f t="shared" si="64"/>
        <v>0</v>
      </c>
      <c r="O200" s="15">
        <f t="shared" si="64"/>
        <v>0</v>
      </c>
      <c r="P200" s="15">
        <f t="shared" si="64"/>
        <v>0</v>
      </c>
      <c r="Q200" s="15">
        <f t="shared" si="64"/>
        <v>0</v>
      </c>
      <c r="R200" s="15">
        <f t="shared" si="64"/>
        <v>0</v>
      </c>
      <c r="S200" s="15">
        <f t="shared" si="64"/>
        <v>0</v>
      </c>
    </row>
    <row r="201" spans="1:19" ht="27" customHeight="1">
      <c r="A201" s="53"/>
      <c r="B201" s="53"/>
      <c r="C201" s="61"/>
      <c r="D201" s="34" t="s">
        <v>20</v>
      </c>
      <c r="E201" s="21" t="s">
        <v>104</v>
      </c>
      <c r="F201" s="25"/>
      <c r="G201" s="21" t="s">
        <v>112</v>
      </c>
      <c r="H201" s="13">
        <f aca="true" t="shared" si="65" ref="H201:H267">I201+J201+K201+L201+M201+N201+O201+P201+Q201+R201+S201</f>
        <v>114890.18500000001</v>
      </c>
      <c r="I201" s="26">
        <f aca="true" t="shared" si="66" ref="I201:S201">I209+I219+I232+I245+I257+I263+I269+I282+I276+I225+I238+I288+I295+I301</f>
        <v>10665.999999999998</v>
      </c>
      <c r="J201" s="26">
        <f t="shared" si="66"/>
        <v>11529.400000000001</v>
      </c>
      <c r="K201" s="26">
        <f t="shared" si="66"/>
        <v>9871.300000000001</v>
      </c>
      <c r="L201" s="26">
        <f t="shared" si="66"/>
        <v>9231.800000000001</v>
      </c>
      <c r="M201" s="15">
        <f t="shared" si="66"/>
        <v>9034.445</v>
      </c>
      <c r="N201" s="15">
        <f t="shared" si="66"/>
        <v>10088.951000000001</v>
      </c>
      <c r="O201" s="15">
        <f t="shared" si="66"/>
        <v>11490.2</v>
      </c>
      <c r="P201" s="15">
        <f t="shared" si="66"/>
        <v>11519.189</v>
      </c>
      <c r="Q201" s="15">
        <f t="shared" si="66"/>
        <v>10077.8</v>
      </c>
      <c r="R201" s="15">
        <f t="shared" si="66"/>
        <v>10481</v>
      </c>
      <c r="S201" s="15">
        <f t="shared" si="66"/>
        <v>10900.1</v>
      </c>
    </row>
    <row r="202" spans="1:19" ht="27" customHeight="1">
      <c r="A202" s="53"/>
      <c r="B202" s="53"/>
      <c r="C202" s="61"/>
      <c r="D202" s="34" t="s">
        <v>12</v>
      </c>
      <c r="E202" s="21" t="s">
        <v>104</v>
      </c>
      <c r="F202" s="25"/>
      <c r="G202" s="21" t="s">
        <v>112</v>
      </c>
      <c r="H202" s="13">
        <f t="shared" si="65"/>
        <v>64080.668999999994</v>
      </c>
      <c r="I202" s="26">
        <f aca="true" t="shared" si="67" ref="I202:S202">I210+I220+I233+I246+I258+I264+I270+I283+I277+I226+I239+I289+I296+I302</f>
        <v>4641.3</v>
      </c>
      <c r="J202" s="26">
        <f t="shared" si="67"/>
        <v>5192.6</v>
      </c>
      <c r="K202" s="26">
        <f t="shared" si="67"/>
        <v>5833.6</v>
      </c>
      <c r="L202" s="26">
        <f t="shared" si="67"/>
        <v>6266.9</v>
      </c>
      <c r="M202" s="15">
        <f t="shared" si="67"/>
        <v>4880.928</v>
      </c>
      <c r="N202" s="15">
        <f t="shared" si="67"/>
        <v>5268.915000000001</v>
      </c>
      <c r="O202" s="15">
        <f t="shared" si="67"/>
        <v>5035.113</v>
      </c>
      <c r="P202" s="15">
        <f t="shared" si="67"/>
        <v>5035.113</v>
      </c>
      <c r="Q202" s="15">
        <f t="shared" si="67"/>
        <v>7023.999999999999</v>
      </c>
      <c r="R202" s="15">
        <f t="shared" si="67"/>
        <v>7304.999999999999</v>
      </c>
      <c r="S202" s="15">
        <f t="shared" si="67"/>
        <v>7597.2</v>
      </c>
    </row>
    <row r="203" spans="1:19" ht="27" customHeight="1">
      <c r="A203" s="53"/>
      <c r="B203" s="53"/>
      <c r="C203" s="61"/>
      <c r="D203" s="34" t="s">
        <v>14</v>
      </c>
      <c r="E203" s="20"/>
      <c r="F203" s="20"/>
      <c r="G203" s="20"/>
      <c r="H203" s="13">
        <f t="shared" si="65"/>
        <v>0</v>
      </c>
      <c r="I203" s="26">
        <f aca="true" t="shared" si="68" ref="I203:S203">I214+I221+I234+I251+I259+I265+I271+I284</f>
        <v>0</v>
      </c>
      <c r="J203" s="26">
        <f t="shared" si="68"/>
        <v>0</v>
      </c>
      <c r="K203" s="26">
        <f t="shared" si="68"/>
        <v>0</v>
      </c>
      <c r="L203" s="26">
        <f t="shared" si="68"/>
        <v>0</v>
      </c>
      <c r="M203" s="15">
        <f t="shared" si="68"/>
        <v>0</v>
      </c>
      <c r="N203" s="15">
        <f t="shared" si="68"/>
        <v>0</v>
      </c>
      <c r="O203" s="15">
        <f t="shared" si="68"/>
        <v>0</v>
      </c>
      <c r="P203" s="15">
        <f t="shared" si="68"/>
        <v>0</v>
      </c>
      <c r="Q203" s="15">
        <f t="shared" si="68"/>
        <v>0</v>
      </c>
      <c r="R203" s="15">
        <f t="shared" si="68"/>
        <v>0</v>
      </c>
      <c r="S203" s="15">
        <f t="shared" si="68"/>
        <v>0</v>
      </c>
    </row>
    <row r="204" spans="1:19" ht="27" customHeight="1">
      <c r="A204" s="53"/>
      <c r="B204" s="53"/>
      <c r="C204" s="61"/>
      <c r="D204" s="34" t="s">
        <v>13</v>
      </c>
      <c r="E204" s="20"/>
      <c r="F204" s="20"/>
      <c r="G204" s="20"/>
      <c r="H204" s="13">
        <f t="shared" si="65"/>
        <v>0</v>
      </c>
      <c r="I204" s="26">
        <f aca="true" t="shared" si="69" ref="I204:S204">I215+I222+I235+I252+I260+I266+I272+I285</f>
        <v>0</v>
      </c>
      <c r="J204" s="26">
        <f t="shared" si="69"/>
        <v>0</v>
      </c>
      <c r="K204" s="26">
        <f t="shared" si="69"/>
        <v>0</v>
      </c>
      <c r="L204" s="26">
        <f t="shared" si="69"/>
        <v>0</v>
      </c>
      <c r="M204" s="15">
        <f t="shared" si="69"/>
        <v>0</v>
      </c>
      <c r="N204" s="15">
        <f t="shared" si="69"/>
        <v>0</v>
      </c>
      <c r="O204" s="15">
        <f t="shared" si="69"/>
        <v>0</v>
      </c>
      <c r="P204" s="15">
        <f t="shared" si="69"/>
        <v>0</v>
      </c>
      <c r="Q204" s="15">
        <f t="shared" si="69"/>
        <v>0</v>
      </c>
      <c r="R204" s="15">
        <f t="shared" si="69"/>
        <v>0</v>
      </c>
      <c r="S204" s="15">
        <f t="shared" si="69"/>
        <v>0</v>
      </c>
    </row>
    <row r="205" spans="1:19" s="5" customFormat="1" ht="59.25" customHeight="1">
      <c r="A205" s="6" t="s">
        <v>46</v>
      </c>
      <c r="B205" s="7" t="s">
        <v>45</v>
      </c>
      <c r="C205" s="7"/>
      <c r="D205" s="17" t="s">
        <v>2</v>
      </c>
      <c r="E205" s="21"/>
      <c r="F205" s="25"/>
      <c r="G205" s="21" t="s">
        <v>113</v>
      </c>
      <c r="H205" s="13">
        <f t="shared" si="65"/>
        <v>3584.729</v>
      </c>
      <c r="I205" s="26">
        <f aca="true" t="shared" si="70" ref="I205:N205">I207</f>
        <v>258.6</v>
      </c>
      <c r="J205" s="26">
        <f t="shared" si="70"/>
        <v>145</v>
      </c>
      <c r="K205" s="26">
        <f t="shared" si="70"/>
        <v>451.1</v>
      </c>
      <c r="L205" s="26">
        <f t="shared" si="70"/>
        <v>289.2</v>
      </c>
      <c r="M205" s="15">
        <f>M207</f>
        <v>292.31899999999996</v>
      </c>
      <c r="N205" s="15">
        <f t="shared" si="70"/>
        <v>305.37</v>
      </c>
      <c r="O205" s="15">
        <f>O207</f>
        <v>305.37</v>
      </c>
      <c r="P205" s="15">
        <f>P207</f>
        <v>305.37</v>
      </c>
      <c r="Q205" s="15">
        <f>Q207</f>
        <v>394.8</v>
      </c>
      <c r="R205" s="15">
        <f>R207</f>
        <v>410.59999999999997</v>
      </c>
      <c r="S205" s="15">
        <f>S207</f>
        <v>427</v>
      </c>
    </row>
    <row r="206" spans="1:19" s="5" customFormat="1" ht="16.5" customHeight="1">
      <c r="A206" s="9">
        <v>1</v>
      </c>
      <c r="B206" s="9">
        <v>2</v>
      </c>
      <c r="C206" s="9">
        <f aca="true" t="shared" si="71" ref="C206:S206">B206+1</f>
        <v>3</v>
      </c>
      <c r="D206" s="34">
        <f t="shared" si="71"/>
        <v>4</v>
      </c>
      <c r="E206" s="9">
        <f t="shared" si="71"/>
        <v>5</v>
      </c>
      <c r="F206" s="9">
        <f t="shared" si="71"/>
        <v>6</v>
      </c>
      <c r="G206" s="9">
        <f t="shared" si="71"/>
        <v>7</v>
      </c>
      <c r="H206" s="24">
        <f t="shared" si="71"/>
        <v>8</v>
      </c>
      <c r="I206" s="24">
        <f t="shared" si="71"/>
        <v>9</v>
      </c>
      <c r="J206" s="24">
        <f t="shared" si="71"/>
        <v>10</v>
      </c>
      <c r="K206" s="24">
        <f t="shared" si="71"/>
        <v>11</v>
      </c>
      <c r="L206" s="24">
        <f t="shared" si="71"/>
        <v>12</v>
      </c>
      <c r="M206" s="24">
        <f t="shared" si="71"/>
        <v>13</v>
      </c>
      <c r="N206" s="24">
        <f t="shared" si="71"/>
        <v>14</v>
      </c>
      <c r="O206" s="24">
        <f t="shared" si="71"/>
        <v>15</v>
      </c>
      <c r="P206" s="24">
        <f t="shared" si="71"/>
        <v>16</v>
      </c>
      <c r="Q206" s="24">
        <f t="shared" si="71"/>
        <v>17</v>
      </c>
      <c r="R206" s="24">
        <f t="shared" si="71"/>
        <v>18</v>
      </c>
      <c r="S206" s="24">
        <f t="shared" si="71"/>
        <v>19</v>
      </c>
    </row>
    <row r="207" spans="1:19" ht="13.5" customHeight="1">
      <c r="A207" s="53" t="s">
        <v>47</v>
      </c>
      <c r="B207" s="53" t="s">
        <v>48</v>
      </c>
      <c r="C207" s="61" t="s">
        <v>100</v>
      </c>
      <c r="D207" s="17" t="s">
        <v>2</v>
      </c>
      <c r="E207" s="21"/>
      <c r="F207" s="20"/>
      <c r="G207" s="21" t="s">
        <v>136</v>
      </c>
      <c r="H207" s="13">
        <f t="shared" si="65"/>
        <v>3584.729</v>
      </c>
      <c r="I207" s="23">
        <f aca="true" t="shared" si="72" ref="I207:N207">SUM(I208:I210)</f>
        <v>258.6</v>
      </c>
      <c r="J207" s="23">
        <f t="shared" si="72"/>
        <v>145</v>
      </c>
      <c r="K207" s="23">
        <f t="shared" si="72"/>
        <v>451.1</v>
      </c>
      <c r="L207" s="23">
        <f t="shared" si="72"/>
        <v>289.2</v>
      </c>
      <c r="M207" s="13">
        <f>SUM(M208:M210)</f>
        <v>292.31899999999996</v>
      </c>
      <c r="N207" s="13">
        <f t="shared" si="72"/>
        <v>305.37</v>
      </c>
      <c r="O207" s="13">
        <f>SUM(O208:O210)</f>
        <v>305.37</v>
      </c>
      <c r="P207" s="13">
        <f>SUM(P208:P210)</f>
        <v>305.37</v>
      </c>
      <c r="Q207" s="13">
        <f>SUM(Q208:Q210)</f>
        <v>394.8</v>
      </c>
      <c r="R207" s="13">
        <f>SUM(R208:R210)</f>
        <v>410.59999999999997</v>
      </c>
      <c r="S207" s="13">
        <f>SUM(S208:S210)</f>
        <v>427</v>
      </c>
    </row>
    <row r="208" spans="1:19" ht="27" customHeight="1">
      <c r="A208" s="53"/>
      <c r="B208" s="53"/>
      <c r="C208" s="61"/>
      <c r="D208" s="34" t="s">
        <v>11</v>
      </c>
      <c r="E208" s="20"/>
      <c r="F208" s="20"/>
      <c r="G208" s="20"/>
      <c r="H208" s="13">
        <f t="shared" si="65"/>
        <v>0</v>
      </c>
      <c r="I208" s="26"/>
      <c r="J208" s="26"/>
      <c r="K208" s="26"/>
      <c r="L208" s="26"/>
      <c r="M208" s="15"/>
      <c r="N208" s="15"/>
      <c r="O208" s="15"/>
      <c r="P208" s="15"/>
      <c r="Q208" s="15"/>
      <c r="R208" s="15"/>
      <c r="S208" s="15"/>
    </row>
    <row r="209" spans="1:19" ht="27" customHeight="1">
      <c r="A209" s="53"/>
      <c r="B209" s="53"/>
      <c r="C209" s="61"/>
      <c r="D209" s="34" t="s">
        <v>20</v>
      </c>
      <c r="E209" s="20"/>
      <c r="F209" s="20"/>
      <c r="G209" s="20"/>
      <c r="H209" s="13">
        <f t="shared" si="65"/>
        <v>0</v>
      </c>
      <c r="I209" s="26"/>
      <c r="J209" s="26"/>
      <c r="K209" s="26"/>
      <c r="L209" s="26"/>
      <c r="M209" s="15"/>
      <c r="N209" s="15"/>
      <c r="O209" s="15"/>
      <c r="P209" s="15"/>
      <c r="Q209" s="15"/>
      <c r="R209" s="15"/>
      <c r="S209" s="15"/>
    </row>
    <row r="210" spans="1:19" ht="12.75" customHeight="1">
      <c r="A210" s="53"/>
      <c r="B210" s="53"/>
      <c r="C210" s="61"/>
      <c r="D210" s="62" t="s">
        <v>12</v>
      </c>
      <c r="E210" s="21"/>
      <c r="F210" s="20"/>
      <c r="G210" s="21" t="s">
        <v>136</v>
      </c>
      <c r="H210" s="13">
        <f t="shared" si="65"/>
        <v>3584.729</v>
      </c>
      <c r="I210" s="26">
        <f aca="true" t="shared" si="73" ref="I210:N210">SUM(I211:I213)</f>
        <v>258.6</v>
      </c>
      <c r="J210" s="26">
        <f t="shared" si="73"/>
        <v>145</v>
      </c>
      <c r="K210" s="26">
        <f t="shared" si="73"/>
        <v>451.1</v>
      </c>
      <c r="L210" s="26">
        <f t="shared" si="73"/>
        <v>289.2</v>
      </c>
      <c r="M210" s="15">
        <f>SUM(M211:M213)</f>
        <v>292.31899999999996</v>
      </c>
      <c r="N210" s="15">
        <f t="shared" si="73"/>
        <v>305.37</v>
      </c>
      <c r="O210" s="15">
        <f>SUM(O211:O213)</f>
        <v>305.37</v>
      </c>
      <c r="P210" s="15">
        <f>SUM(P211:P213)</f>
        <v>305.37</v>
      </c>
      <c r="Q210" s="15">
        <f>SUM(Q211:Q213)</f>
        <v>394.8</v>
      </c>
      <c r="R210" s="15">
        <f>SUM(R211:R213)</f>
        <v>410.59999999999997</v>
      </c>
      <c r="S210" s="15">
        <f>SUM(S211:S213)</f>
        <v>427</v>
      </c>
    </row>
    <row r="211" spans="1:19" ht="12.75" customHeight="1">
      <c r="A211" s="53"/>
      <c r="B211" s="53"/>
      <c r="C211" s="61"/>
      <c r="D211" s="62"/>
      <c r="E211" s="21" t="s">
        <v>104</v>
      </c>
      <c r="F211" s="21" t="s">
        <v>127</v>
      </c>
      <c r="G211" s="21" t="s">
        <v>136</v>
      </c>
      <c r="H211" s="13">
        <f t="shared" si="65"/>
        <v>719.8290000000001</v>
      </c>
      <c r="I211" s="26">
        <v>170.2</v>
      </c>
      <c r="J211" s="26">
        <v>66.2</v>
      </c>
      <c r="K211" s="26">
        <v>47.3</v>
      </c>
      <c r="L211" s="26">
        <v>39.6</v>
      </c>
      <c r="M211" s="13">
        <v>59.169</v>
      </c>
      <c r="N211" s="15">
        <v>60.22</v>
      </c>
      <c r="O211" s="15">
        <v>60.22</v>
      </c>
      <c r="P211" s="15">
        <v>60.22</v>
      </c>
      <c r="Q211" s="13">
        <v>50.2</v>
      </c>
      <c r="R211" s="13">
        <v>52.2</v>
      </c>
      <c r="S211" s="13">
        <v>54.3</v>
      </c>
    </row>
    <row r="212" spans="1:19" ht="12.75" customHeight="1">
      <c r="A212" s="53"/>
      <c r="B212" s="53"/>
      <c r="C212" s="61"/>
      <c r="D212" s="62"/>
      <c r="E212" s="21" t="s">
        <v>104</v>
      </c>
      <c r="F212" s="21" t="s">
        <v>129</v>
      </c>
      <c r="G212" s="21" t="s">
        <v>136</v>
      </c>
      <c r="H212" s="13">
        <f t="shared" si="65"/>
        <v>1466.6999999999998</v>
      </c>
      <c r="I212" s="26"/>
      <c r="J212" s="26"/>
      <c r="K212" s="26">
        <v>217.3</v>
      </c>
      <c r="L212" s="26">
        <v>128.2</v>
      </c>
      <c r="M212" s="13">
        <v>130</v>
      </c>
      <c r="N212" s="15">
        <v>184.1</v>
      </c>
      <c r="O212" s="15">
        <v>184.1</v>
      </c>
      <c r="P212" s="15">
        <v>184.1</v>
      </c>
      <c r="Q212" s="13">
        <v>140.6</v>
      </c>
      <c r="R212" s="13">
        <v>146.2</v>
      </c>
      <c r="S212" s="13">
        <v>152.1</v>
      </c>
    </row>
    <row r="213" spans="1:19" ht="12.75" customHeight="1">
      <c r="A213" s="53"/>
      <c r="B213" s="53"/>
      <c r="C213" s="61"/>
      <c r="D213" s="62"/>
      <c r="E213" s="21" t="s">
        <v>104</v>
      </c>
      <c r="F213" s="21" t="s">
        <v>120</v>
      </c>
      <c r="G213" s="21" t="s">
        <v>136</v>
      </c>
      <c r="H213" s="13">
        <f t="shared" si="65"/>
        <v>1398.1999999999998</v>
      </c>
      <c r="I213" s="26">
        <v>88.4</v>
      </c>
      <c r="J213" s="26">
        <v>78.8</v>
      </c>
      <c r="K213" s="26">
        <v>186.5</v>
      </c>
      <c r="L213" s="26">
        <v>121.4</v>
      </c>
      <c r="M213" s="13">
        <v>103.15</v>
      </c>
      <c r="N213" s="15">
        <v>61.05</v>
      </c>
      <c r="O213" s="15">
        <v>61.05</v>
      </c>
      <c r="P213" s="15">
        <v>61.05</v>
      </c>
      <c r="Q213" s="13">
        <v>204</v>
      </c>
      <c r="R213" s="13">
        <v>212.2</v>
      </c>
      <c r="S213" s="13">
        <v>220.6</v>
      </c>
    </row>
    <row r="214" spans="1:19" ht="27" customHeight="1">
      <c r="A214" s="53"/>
      <c r="B214" s="53"/>
      <c r="C214" s="61"/>
      <c r="D214" s="34" t="s">
        <v>14</v>
      </c>
      <c r="E214" s="20"/>
      <c r="F214" s="20"/>
      <c r="G214" s="20"/>
      <c r="H214" s="13">
        <f t="shared" si="65"/>
        <v>0</v>
      </c>
      <c r="I214" s="26"/>
      <c r="J214" s="26"/>
      <c r="K214" s="26"/>
      <c r="L214" s="26"/>
      <c r="M214" s="15"/>
      <c r="N214" s="15"/>
      <c r="O214" s="15"/>
      <c r="P214" s="15"/>
      <c r="Q214" s="15"/>
      <c r="R214" s="15"/>
      <c r="S214" s="15"/>
    </row>
    <row r="215" spans="1:19" ht="27" customHeight="1">
      <c r="A215" s="53"/>
      <c r="B215" s="53"/>
      <c r="C215" s="61"/>
      <c r="D215" s="34" t="s">
        <v>13</v>
      </c>
      <c r="E215" s="20"/>
      <c r="F215" s="20"/>
      <c r="G215" s="20"/>
      <c r="H215" s="13">
        <f t="shared" si="65"/>
        <v>0</v>
      </c>
      <c r="I215" s="26"/>
      <c r="J215" s="26"/>
      <c r="K215" s="26"/>
      <c r="L215" s="26"/>
      <c r="M215" s="15"/>
      <c r="N215" s="15"/>
      <c r="O215" s="15"/>
      <c r="P215" s="15"/>
      <c r="Q215" s="15"/>
      <c r="R215" s="15"/>
      <c r="S215" s="15"/>
    </row>
    <row r="216" spans="1:19" ht="73.5" customHeight="1">
      <c r="A216" s="6" t="s">
        <v>49</v>
      </c>
      <c r="B216" s="7" t="s">
        <v>52</v>
      </c>
      <c r="C216" s="7"/>
      <c r="D216" s="17" t="s">
        <v>2</v>
      </c>
      <c r="E216" s="21"/>
      <c r="F216" s="25"/>
      <c r="G216" s="21" t="s">
        <v>114</v>
      </c>
      <c r="H216" s="13">
        <f t="shared" si="65"/>
        <v>34051.59799999999</v>
      </c>
      <c r="I216" s="26">
        <f>I217+I230</f>
        <v>3047.5</v>
      </c>
      <c r="J216" s="26">
        <f>J217+J230</f>
        <v>3572.2</v>
      </c>
      <c r="K216" s="26">
        <f>K217+K230</f>
        <v>3345.8</v>
      </c>
      <c r="L216" s="26">
        <f aca="true" t="shared" si="74" ref="L216:S216">L217+L230+L223+L236</f>
        <v>3989.8</v>
      </c>
      <c r="M216" s="15">
        <f t="shared" si="74"/>
        <v>3575.027</v>
      </c>
      <c r="N216" s="15">
        <f t="shared" si="74"/>
        <v>2696.5469999999996</v>
      </c>
      <c r="O216" s="15">
        <f t="shared" si="74"/>
        <v>3018.0119999999997</v>
      </c>
      <c r="P216" s="15">
        <f t="shared" si="74"/>
        <v>3018.0119999999997</v>
      </c>
      <c r="Q216" s="15">
        <f t="shared" si="74"/>
        <v>2495.1</v>
      </c>
      <c r="R216" s="15">
        <f t="shared" si="74"/>
        <v>2594.8999999999996</v>
      </c>
      <c r="S216" s="15">
        <f t="shared" si="74"/>
        <v>2698.7</v>
      </c>
    </row>
    <row r="217" spans="1:19" ht="14.25" customHeight="1">
      <c r="A217" s="53" t="s">
        <v>50</v>
      </c>
      <c r="B217" s="53" t="s">
        <v>97</v>
      </c>
      <c r="C217" s="61" t="s">
        <v>100</v>
      </c>
      <c r="D217" s="17" t="s">
        <v>2</v>
      </c>
      <c r="E217" s="21"/>
      <c r="F217" s="20"/>
      <c r="G217" s="21" t="s">
        <v>137</v>
      </c>
      <c r="H217" s="13">
        <f t="shared" si="65"/>
        <v>15863.847999999998</v>
      </c>
      <c r="I217" s="23">
        <f aca="true" t="shared" si="75" ref="I217:N217">SUM(I218:I222)</f>
        <v>1739.3</v>
      </c>
      <c r="J217" s="23">
        <f>SUM(J218:J222)</f>
        <v>2233.5</v>
      </c>
      <c r="K217" s="23">
        <f t="shared" si="75"/>
        <v>2112</v>
      </c>
      <c r="L217" s="23">
        <f t="shared" si="75"/>
        <v>1939.6</v>
      </c>
      <c r="M217" s="13">
        <f>SUM(M218:M222)</f>
        <v>1561.409</v>
      </c>
      <c r="N217" s="13">
        <f t="shared" si="75"/>
        <v>678.6149999999999</v>
      </c>
      <c r="O217" s="13">
        <f>SUM(O218:O222)</f>
        <v>1475.712</v>
      </c>
      <c r="P217" s="13">
        <f>SUM(P218:P222)</f>
        <v>1475.712</v>
      </c>
      <c r="Q217" s="13">
        <f>SUM(Q218:Q222)</f>
        <v>848.3</v>
      </c>
      <c r="R217" s="13">
        <f>SUM(R218:R222)</f>
        <v>882.1999999999999</v>
      </c>
      <c r="S217" s="13">
        <f>SUM(S218:S222)</f>
        <v>917.5</v>
      </c>
    </row>
    <row r="218" spans="1:19" ht="27" customHeight="1">
      <c r="A218" s="53"/>
      <c r="B218" s="53"/>
      <c r="C218" s="61"/>
      <c r="D218" s="34" t="s">
        <v>11</v>
      </c>
      <c r="E218" s="20"/>
      <c r="F218" s="20"/>
      <c r="G218" s="20"/>
      <c r="H218" s="13">
        <f t="shared" si="65"/>
        <v>0</v>
      </c>
      <c r="I218" s="26"/>
      <c r="J218" s="26"/>
      <c r="K218" s="26"/>
      <c r="L218" s="26"/>
      <c r="M218" s="15"/>
      <c r="N218" s="15"/>
      <c r="O218" s="15"/>
      <c r="P218" s="15"/>
      <c r="Q218" s="15"/>
      <c r="R218" s="15"/>
      <c r="S218" s="15"/>
    </row>
    <row r="219" spans="1:19" ht="27" customHeight="1">
      <c r="A219" s="53"/>
      <c r="B219" s="53"/>
      <c r="C219" s="61"/>
      <c r="D219" s="34" t="s">
        <v>20</v>
      </c>
      <c r="E219" s="21" t="s">
        <v>104</v>
      </c>
      <c r="F219" s="21" t="s">
        <v>138</v>
      </c>
      <c r="G219" s="21" t="s">
        <v>137</v>
      </c>
      <c r="H219" s="13">
        <f t="shared" si="65"/>
        <v>13237.149</v>
      </c>
      <c r="I219" s="26">
        <v>1739.3</v>
      </c>
      <c r="J219" s="26">
        <v>1632.6</v>
      </c>
      <c r="K219" s="26">
        <v>1664.1</v>
      </c>
      <c r="L219" s="26">
        <v>1639.7</v>
      </c>
      <c r="M219" s="13">
        <v>1405.268</v>
      </c>
      <c r="N219" s="15">
        <v>658.257</v>
      </c>
      <c r="O219" s="15">
        <f>1431.4+0.012</f>
        <v>1431.412</v>
      </c>
      <c r="P219" s="15">
        <f>1431.4+0.012</f>
        <v>1431.412</v>
      </c>
      <c r="Q219" s="13">
        <v>523.8</v>
      </c>
      <c r="R219" s="13">
        <v>544.8</v>
      </c>
      <c r="S219" s="13">
        <v>566.5</v>
      </c>
    </row>
    <row r="220" spans="1:19" ht="27" customHeight="1">
      <c r="A220" s="53"/>
      <c r="B220" s="53"/>
      <c r="C220" s="61"/>
      <c r="D220" s="34" t="s">
        <v>12</v>
      </c>
      <c r="E220" s="21" t="s">
        <v>104</v>
      </c>
      <c r="F220" s="21" t="s">
        <v>138</v>
      </c>
      <c r="G220" s="21" t="s">
        <v>137</v>
      </c>
      <c r="H220" s="13">
        <f t="shared" si="65"/>
        <v>2626.6989999999996</v>
      </c>
      <c r="I220" s="26">
        <v>0</v>
      </c>
      <c r="J220" s="26">
        <v>600.9</v>
      </c>
      <c r="K220" s="26">
        <v>447.9</v>
      </c>
      <c r="L220" s="26">
        <v>299.9</v>
      </c>
      <c r="M220" s="13">
        <v>156.141</v>
      </c>
      <c r="N220" s="15">
        <v>20.358</v>
      </c>
      <c r="O220" s="15">
        <f>159.045-114.745</f>
        <v>44.29999999999998</v>
      </c>
      <c r="P220" s="15">
        <f>159.045-114.745</f>
        <v>44.29999999999998</v>
      </c>
      <c r="Q220" s="13">
        <v>324.5</v>
      </c>
      <c r="R220" s="13">
        <v>337.4</v>
      </c>
      <c r="S220" s="13">
        <v>351</v>
      </c>
    </row>
    <row r="221" spans="1:19" ht="27" customHeight="1">
      <c r="A221" s="53"/>
      <c r="B221" s="53"/>
      <c r="C221" s="61"/>
      <c r="D221" s="34" t="s">
        <v>14</v>
      </c>
      <c r="E221" s="20"/>
      <c r="F221" s="20"/>
      <c r="G221" s="20"/>
      <c r="H221" s="13">
        <f t="shared" si="65"/>
        <v>0</v>
      </c>
      <c r="I221" s="26"/>
      <c r="J221" s="26"/>
      <c r="K221" s="26"/>
      <c r="L221" s="26"/>
      <c r="M221" s="15"/>
      <c r="N221" s="15"/>
      <c r="O221" s="15"/>
      <c r="P221" s="15"/>
      <c r="Q221" s="15"/>
      <c r="R221" s="15"/>
      <c r="S221" s="15"/>
    </row>
    <row r="222" spans="1:19" ht="27" customHeight="1">
      <c r="A222" s="53"/>
      <c r="B222" s="53"/>
      <c r="C222" s="61"/>
      <c r="D222" s="34" t="s">
        <v>13</v>
      </c>
      <c r="E222" s="20"/>
      <c r="F222" s="20"/>
      <c r="G222" s="20"/>
      <c r="H222" s="13">
        <f t="shared" si="65"/>
        <v>0</v>
      </c>
      <c r="I222" s="26"/>
      <c r="J222" s="26"/>
      <c r="K222" s="26"/>
      <c r="L222" s="26"/>
      <c r="M222" s="15"/>
      <c r="N222" s="15"/>
      <c r="O222" s="15"/>
      <c r="P222" s="15"/>
      <c r="Q222" s="15"/>
      <c r="R222" s="15"/>
      <c r="S222" s="15"/>
    </row>
    <row r="223" spans="1:19" ht="13.5" customHeight="1">
      <c r="A223" s="53" t="s">
        <v>51</v>
      </c>
      <c r="B223" s="53" t="s">
        <v>95</v>
      </c>
      <c r="C223" s="61" t="s">
        <v>100</v>
      </c>
      <c r="D223" s="17" t="s">
        <v>2</v>
      </c>
      <c r="E223" s="21"/>
      <c r="F223" s="20"/>
      <c r="G223" s="21" t="s">
        <v>139</v>
      </c>
      <c r="H223" s="13">
        <f t="shared" si="65"/>
        <v>2315.7690000000002</v>
      </c>
      <c r="I223" s="23">
        <f aca="true" t="shared" si="76" ref="I223:N223">SUM(I224:I228)</f>
        <v>0</v>
      </c>
      <c r="J223" s="23">
        <f t="shared" si="76"/>
        <v>0</v>
      </c>
      <c r="K223" s="23">
        <f t="shared" si="76"/>
        <v>0</v>
      </c>
      <c r="L223" s="23">
        <f t="shared" si="76"/>
        <v>304.9</v>
      </c>
      <c r="M223" s="13">
        <f>SUM(M224:M228)</f>
        <v>406.46900000000005</v>
      </c>
      <c r="N223" s="13">
        <f t="shared" si="76"/>
        <v>478</v>
      </c>
      <c r="O223" s="13">
        <f>SUM(O224:O228)</f>
        <v>310</v>
      </c>
      <c r="P223" s="13">
        <f>SUM(P224:P228)</f>
        <v>310</v>
      </c>
      <c r="Q223" s="13">
        <f>SUM(Q224:Q228)</f>
        <v>162.2</v>
      </c>
      <c r="R223" s="13">
        <f>SUM(R224:R228)</f>
        <v>168.7</v>
      </c>
      <c r="S223" s="13">
        <f>SUM(S224:S228)</f>
        <v>175.5</v>
      </c>
    </row>
    <row r="224" spans="1:19" ht="27" customHeight="1">
      <c r="A224" s="53"/>
      <c r="B224" s="53"/>
      <c r="C224" s="61"/>
      <c r="D224" s="34" t="s">
        <v>11</v>
      </c>
      <c r="E224" s="20"/>
      <c r="F224" s="20"/>
      <c r="G224" s="20"/>
      <c r="H224" s="13">
        <f t="shared" si="65"/>
        <v>0</v>
      </c>
      <c r="I224" s="26"/>
      <c r="J224" s="26"/>
      <c r="K224" s="26"/>
      <c r="L224" s="26"/>
      <c r="M224" s="15"/>
      <c r="N224" s="15"/>
      <c r="O224" s="15"/>
      <c r="P224" s="15"/>
      <c r="Q224" s="15"/>
      <c r="R224" s="15"/>
      <c r="S224" s="15"/>
    </row>
    <row r="225" spans="1:19" ht="27" customHeight="1">
      <c r="A225" s="53"/>
      <c r="B225" s="53"/>
      <c r="C225" s="61"/>
      <c r="D225" s="34" t="s">
        <v>20</v>
      </c>
      <c r="E225" s="21"/>
      <c r="F225" s="21"/>
      <c r="G225" s="21"/>
      <c r="H225" s="13">
        <f t="shared" si="65"/>
        <v>0</v>
      </c>
      <c r="I225" s="26"/>
      <c r="J225" s="26"/>
      <c r="K225" s="26"/>
      <c r="L225" s="26"/>
      <c r="M225" s="15"/>
      <c r="N225" s="15"/>
      <c r="O225" s="15"/>
      <c r="P225" s="15"/>
      <c r="Q225" s="15"/>
      <c r="R225" s="15"/>
      <c r="S225" s="15"/>
    </row>
    <row r="226" spans="1:19" ht="27" customHeight="1">
      <c r="A226" s="53"/>
      <c r="B226" s="53"/>
      <c r="C226" s="61"/>
      <c r="D226" s="34" t="s">
        <v>12</v>
      </c>
      <c r="E226" s="21" t="s">
        <v>104</v>
      </c>
      <c r="F226" s="21" t="s">
        <v>138</v>
      </c>
      <c r="G226" s="21" t="s">
        <v>139</v>
      </c>
      <c r="H226" s="13">
        <f t="shared" si="65"/>
        <v>2315.7690000000002</v>
      </c>
      <c r="I226" s="26"/>
      <c r="J226" s="26"/>
      <c r="K226" s="26"/>
      <c r="L226" s="26">
        <v>304.9</v>
      </c>
      <c r="M226" s="13">
        <v>406.46900000000005</v>
      </c>
      <c r="N226" s="15">
        <f>200+110+168</f>
        <v>478</v>
      </c>
      <c r="O226" s="15">
        <f>200+110</f>
        <v>310</v>
      </c>
      <c r="P226" s="15">
        <f>200+110</f>
        <v>310</v>
      </c>
      <c r="Q226" s="13">
        <v>162.2</v>
      </c>
      <c r="R226" s="13">
        <v>168.7</v>
      </c>
      <c r="S226" s="13">
        <v>175.5</v>
      </c>
    </row>
    <row r="227" spans="1:19" ht="27" customHeight="1">
      <c r="A227" s="53"/>
      <c r="B227" s="53"/>
      <c r="C227" s="61"/>
      <c r="D227" s="34" t="s">
        <v>14</v>
      </c>
      <c r="E227" s="20"/>
      <c r="F227" s="20"/>
      <c r="G227" s="20"/>
      <c r="H227" s="13">
        <f t="shared" si="65"/>
        <v>0</v>
      </c>
      <c r="I227" s="26"/>
      <c r="J227" s="26"/>
      <c r="K227" s="26"/>
      <c r="L227" s="26"/>
      <c r="M227" s="15"/>
      <c r="N227" s="15"/>
      <c r="O227" s="15"/>
      <c r="P227" s="15"/>
      <c r="Q227" s="15"/>
      <c r="R227" s="15"/>
      <c r="S227" s="15"/>
    </row>
    <row r="228" spans="1:19" ht="27" customHeight="1">
      <c r="A228" s="53"/>
      <c r="B228" s="53"/>
      <c r="C228" s="61"/>
      <c r="D228" s="34" t="s">
        <v>13</v>
      </c>
      <c r="E228" s="20"/>
      <c r="F228" s="20"/>
      <c r="G228" s="20"/>
      <c r="H228" s="13">
        <f t="shared" si="65"/>
        <v>0</v>
      </c>
      <c r="I228" s="26"/>
      <c r="J228" s="26"/>
      <c r="K228" s="26"/>
      <c r="L228" s="26"/>
      <c r="M228" s="15"/>
      <c r="N228" s="15"/>
      <c r="O228" s="15"/>
      <c r="P228" s="15"/>
      <c r="Q228" s="15"/>
      <c r="R228" s="15"/>
      <c r="S228" s="15"/>
    </row>
    <row r="229" spans="1:19" ht="14.25" customHeight="1">
      <c r="A229" s="9">
        <v>1</v>
      </c>
      <c r="B229" s="9">
        <v>2</v>
      </c>
      <c r="C229" s="9">
        <f aca="true" t="shared" si="77" ref="C229:S229">B229+1</f>
        <v>3</v>
      </c>
      <c r="D229" s="34">
        <f t="shared" si="77"/>
        <v>4</v>
      </c>
      <c r="E229" s="9">
        <f t="shared" si="77"/>
        <v>5</v>
      </c>
      <c r="F229" s="9">
        <f t="shared" si="77"/>
        <v>6</v>
      </c>
      <c r="G229" s="9">
        <f t="shared" si="77"/>
        <v>7</v>
      </c>
      <c r="H229" s="24">
        <f t="shared" si="77"/>
        <v>8</v>
      </c>
      <c r="I229" s="24">
        <f t="shared" si="77"/>
        <v>9</v>
      </c>
      <c r="J229" s="24">
        <f t="shared" si="77"/>
        <v>10</v>
      </c>
      <c r="K229" s="24">
        <f t="shared" si="77"/>
        <v>11</v>
      </c>
      <c r="L229" s="24">
        <f t="shared" si="77"/>
        <v>12</v>
      </c>
      <c r="M229" s="24">
        <f t="shared" si="77"/>
        <v>13</v>
      </c>
      <c r="N229" s="24">
        <f t="shared" si="77"/>
        <v>14</v>
      </c>
      <c r="O229" s="24">
        <f t="shared" si="77"/>
        <v>15</v>
      </c>
      <c r="P229" s="24">
        <f t="shared" si="77"/>
        <v>16</v>
      </c>
      <c r="Q229" s="24">
        <f t="shared" si="77"/>
        <v>17</v>
      </c>
      <c r="R229" s="24">
        <f t="shared" si="77"/>
        <v>18</v>
      </c>
      <c r="S229" s="24">
        <f t="shared" si="77"/>
        <v>19</v>
      </c>
    </row>
    <row r="230" spans="1:19" ht="27" customHeight="1">
      <c r="A230" s="53" t="s">
        <v>89</v>
      </c>
      <c r="B230" s="53" t="s">
        <v>53</v>
      </c>
      <c r="C230" s="61" t="s">
        <v>100</v>
      </c>
      <c r="D230" s="17" t="s">
        <v>2</v>
      </c>
      <c r="E230" s="21"/>
      <c r="F230" s="20"/>
      <c r="G230" s="21" t="s">
        <v>140</v>
      </c>
      <c r="H230" s="13">
        <f t="shared" si="65"/>
        <v>9836.73</v>
      </c>
      <c r="I230" s="23">
        <f aca="true" t="shared" si="78" ref="I230:N230">SUM(I231:I235)</f>
        <v>1308.2</v>
      </c>
      <c r="J230" s="23">
        <f t="shared" si="78"/>
        <v>1338.7</v>
      </c>
      <c r="K230" s="23">
        <f t="shared" si="78"/>
        <v>1233.8</v>
      </c>
      <c r="L230" s="23">
        <f t="shared" si="78"/>
        <v>1009</v>
      </c>
      <c r="M230" s="13">
        <f>SUM(M231:M235)</f>
        <v>964.698</v>
      </c>
      <c r="N230" s="13">
        <f t="shared" si="78"/>
        <v>807.632</v>
      </c>
      <c r="O230" s="13">
        <f>SUM(O231:O235)</f>
        <v>500</v>
      </c>
      <c r="P230" s="13">
        <f>SUM(P231:P235)</f>
        <v>500</v>
      </c>
      <c r="Q230" s="13">
        <f>SUM(Q231:Q235)</f>
        <v>696.7</v>
      </c>
      <c r="R230" s="13">
        <f>SUM(R231:R235)</f>
        <v>724.5</v>
      </c>
      <c r="S230" s="13">
        <f>SUM(S231:S235)</f>
        <v>753.5</v>
      </c>
    </row>
    <row r="231" spans="1:19" ht="27" customHeight="1">
      <c r="A231" s="53"/>
      <c r="B231" s="53"/>
      <c r="C231" s="61"/>
      <c r="D231" s="34" t="s">
        <v>11</v>
      </c>
      <c r="E231" s="20"/>
      <c r="F231" s="20"/>
      <c r="G231" s="20"/>
      <c r="H231" s="13">
        <f t="shared" si="65"/>
        <v>0</v>
      </c>
      <c r="I231" s="26"/>
      <c r="J231" s="26"/>
      <c r="K231" s="26"/>
      <c r="L231" s="26"/>
      <c r="M231" s="15"/>
      <c r="N231" s="15"/>
      <c r="O231" s="15"/>
      <c r="P231" s="15"/>
      <c r="Q231" s="15"/>
      <c r="R231" s="15"/>
      <c r="S231" s="15"/>
    </row>
    <row r="232" spans="1:19" ht="27" customHeight="1">
      <c r="A232" s="53"/>
      <c r="B232" s="53"/>
      <c r="C232" s="61"/>
      <c r="D232" s="34" t="s">
        <v>20</v>
      </c>
      <c r="E232" s="21"/>
      <c r="F232" s="21"/>
      <c r="G232" s="21"/>
      <c r="H232" s="13">
        <f t="shared" si="65"/>
        <v>0</v>
      </c>
      <c r="I232" s="26"/>
      <c r="J232" s="26"/>
      <c r="K232" s="26"/>
      <c r="L232" s="26"/>
      <c r="M232" s="15"/>
      <c r="N232" s="15"/>
      <c r="O232" s="15"/>
      <c r="P232" s="15"/>
      <c r="Q232" s="15"/>
      <c r="R232" s="15"/>
      <c r="S232" s="15"/>
    </row>
    <row r="233" spans="1:19" ht="27" customHeight="1">
      <c r="A233" s="53"/>
      <c r="B233" s="53"/>
      <c r="C233" s="61"/>
      <c r="D233" s="34" t="s">
        <v>12</v>
      </c>
      <c r="E233" s="21" t="s">
        <v>104</v>
      </c>
      <c r="F233" s="21" t="s">
        <v>138</v>
      </c>
      <c r="G233" s="21" t="s">
        <v>140</v>
      </c>
      <c r="H233" s="13">
        <f t="shared" si="65"/>
        <v>9836.73</v>
      </c>
      <c r="I233" s="26">
        <v>1308.2</v>
      </c>
      <c r="J233" s="26">
        <v>1338.7</v>
      </c>
      <c r="K233" s="26">
        <v>1233.8</v>
      </c>
      <c r="L233" s="26">
        <v>1009</v>
      </c>
      <c r="M233" s="13">
        <v>964.698</v>
      </c>
      <c r="N233" s="15">
        <f>500.03+307.602</f>
        <v>807.632</v>
      </c>
      <c r="O233" s="15">
        <v>500</v>
      </c>
      <c r="P233" s="15">
        <v>500</v>
      </c>
      <c r="Q233" s="13">
        <v>696.7</v>
      </c>
      <c r="R233" s="13">
        <v>724.5</v>
      </c>
      <c r="S233" s="13">
        <v>753.5</v>
      </c>
    </row>
    <row r="234" spans="1:19" ht="27" customHeight="1">
      <c r="A234" s="53"/>
      <c r="B234" s="53"/>
      <c r="C234" s="61"/>
      <c r="D234" s="34" t="s">
        <v>14</v>
      </c>
      <c r="E234" s="20"/>
      <c r="F234" s="20"/>
      <c r="G234" s="20"/>
      <c r="H234" s="13">
        <f t="shared" si="65"/>
        <v>0</v>
      </c>
      <c r="I234" s="26"/>
      <c r="J234" s="26"/>
      <c r="K234" s="26"/>
      <c r="L234" s="26"/>
      <c r="M234" s="15"/>
      <c r="N234" s="15"/>
      <c r="O234" s="15"/>
      <c r="P234" s="15"/>
      <c r="Q234" s="15"/>
      <c r="R234" s="15"/>
      <c r="S234" s="15"/>
    </row>
    <row r="235" spans="1:19" ht="27" customHeight="1">
      <c r="A235" s="53"/>
      <c r="B235" s="53"/>
      <c r="C235" s="61"/>
      <c r="D235" s="34" t="s">
        <v>13</v>
      </c>
      <c r="E235" s="20"/>
      <c r="F235" s="20"/>
      <c r="G235" s="20"/>
      <c r="H235" s="13">
        <f t="shared" si="65"/>
        <v>0</v>
      </c>
      <c r="I235" s="26"/>
      <c r="J235" s="26"/>
      <c r="K235" s="26"/>
      <c r="L235" s="26"/>
      <c r="M235" s="15"/>
      <c r="N235" s="15"/>
      <c r="O235" s="15"/>
      <c r="P235" s="15"/>
      <c r="Q235" s="15"/>
      <c r="R235" s="15"/>
      <c r="S235" s="15"/>
    </row>
    <row r="236" spans="1:19" ht="13.5" customHeight="1">
      <c r="A236" s="53" t="s">
        <v>90</v>
      </c>
      <c r="B236" s="53" t="s">
        <v>88</v>
      </c>
      <c r="C236" s="61" t="s">
        <v>100</v>
      </c>
      <c r="D236" s="17" t="s">
        <v>2</v>
      </c>
      <c r="E236" s="21"/>
      <c r="F236" s="20"/>
      <c r="G236" s="21" t="s">
        <v>141</v>
      </c>
      <c r="H236" s="13">
        <f t="shared" si="65"/>
        <v>6035.250999999999</v>
      </c>
      <c r="I236" s="23">
        <f aca="true" t="shared" si="79" ref="I236:S236">SUM(I237:I241)</f>
        <v>0</v>
      </c>
      <c r="J236" s="23">
        <f t="shared" si="79"/>
        <v>0</v>
      </c>
      <c r="K236" s="23">
        <f t="shared" si="79"/>
        <v>0</v>
      </c>
      <c r="L236" s="23">
        <f t="shared" si="79"/>
        <v>736.3</v>
      </c>
      <c r="M236" s="13">
        <f t="shared" si="79"/>
        <v>642.451</v>
      </c>
      <c r="N236" s="13">
        <f t="shared" si="79"/>
        <v>732.3</v>
      </c>
      <c r="O236" s="13">
        <f t="shared" si="79"/>
        <v>732.3</v>
      </c>
      <c r="P236" s="13">
        <f t="shared" si="79"/>
        <v>732.3</v>
      </c>
      <c r="Q236" s="13">
        <f t="shared" si="79"/>
        <v>787.9</v>
      </c>
      <c r="R236" s="13">
        <f t="shared" si="79"/>
        <v>819.5</v>
      </c>
      <c r="S236" s="13">
        <f t="shared" si="79"/>
        <v>852.2</v>
      </c>
    </row>
    <row r="237" spans="1:19" ht="27" customHeight="1">
      <c r="A237" s="53"/>
      <c r="B237" s="53"/>
      <c r="C237" s="61"/>
      <c r="D237" s="34" t="s">
        <v>11</v>
      </c>
      <c r="E237" s="20"/>
      <c r="F237" s="20"/>
      <c r="G237" s="20"/>
      <c r="H237" s="13">
        <f t="shared" si="65"/>
        <v>0</v>
      </c>
      <c r="I237" s="26"/>
      <c r="J237" s="26"/>
      <c r="K237" s="26"/>
      <c r="L237" s="26"/>
      <c r="M237" s="15"/>
      <c r="N237" s="15"/>
      <c r="O237" s="15"/>
      <c r="P237" s="15"/>
      <c r="Q237" s="15"/>
      <c r="R237" s="15"/>
      <c r="S237" s="15"/>
    </row>
    <row r="238" spans="1:19" ht="27" customHeight="1">
      <c r="A238" s="53"/>
      <c r="B238" s="53"/>
      <c r="C238" s="61"/>
      <c r="D238" s="34" t="s">
        <v>20</v>
      </c>
      <c r="E238" s="21"/>
      <c r="F238" s="21"/>
      <c r="G238" s="21"/>
      <c r="H238" s="13">
        <f t="shared" si="65"/>
        <v>0</v>
      </c>
      <c r="I238" s="26"/>
      <c r="J238" s="26"/>
      <c r="K238" s="26"/>
      <c r="L238" s="26"/>
      <c r="M238" s="15"/>
      <c r="N238" s="15"/>
      <c r="O238" s="15"/>
      <c r="P238" s="15"/>
      <c r="Q238" s="15"/>
      <c r="R238" s="15"/>
      <c r="S238" s="15"/>
    </row>
    <row r="239" spans="1:19" ht="27" customHeight="1">
      <c r="A239" s="53"/>
      <c r="B239" s="53"/>
      <c r="C239" s="61"/>
      <c r="D239" s="34" t="s">
        <v>12</v>
      </c>
      <c r="E239" s="21" t="s">
        <v>104</v>
      </c>
      <c r="F239" s="21" t="s">
        <v>138</v>
      </c>
      <c r="G239" s="21" t="s">
        <v>141</v>
      </c>
      <c r="H239" s="13">
        <f t="shared" si="65"/>
        <v>6035.250999999999</v>
      </c>
      <c r="I239" s="26"/>
      <c r="J239" s="26"/>
      <c r="K239" s="26"/>
      <c r="L239" s="26">
        <v>736.3</v>
      </c>
      <c r="M239" s="13">
        <v>642.451</v>
      </c>
      <c r="N239" s="15">
        <v>732.3</v>
      </c>
      <c r="O239" s="15">
        <v>732.3</v>
      </c>
      <c r="P239" s="15">
        <v>732.3</v>
      </c>
      <c r="Q239" s="13">
        <v>787.9</v>
      </c>
      <c r="R239" s="13">
        <v>819.5</v>
      </c>
      <c r="S239" s="13">
        <v>852.2</v>
      </c>
    </row>
    <row r="240" spans="1:19" ht="27" customHeight="1">
      <c r="A240" s="53"/>
      <c r="B240" s="53"/>
      <c r="C240" s="61"/>
      <c r="D240" s="34" t="s">
        <v>14</v>
      </c>
      <c r="E240" s="20"/>
      <c r="F240" s="20"/>
      <c r="G240" s="20"/>
      <c r="H240" s="13">
        <f t="shared" si="65"/>
        <v>0</v>
      </c>
      <c r="I240" s="26"/>
      <c r="J240" s="26"/>
      <c r="K240" s="26"/>
      <c r="L240" s="26"/>
      <c r="M240" s="15"/>
      <c r="N240" s="15"/>
      <c r="O240" s="15"/>
      <c r="P240" s="15"/>
      <c r="Q240" s="15"/>
      <c r="R240" s="15"/>
      <c r="S240" s="15"/>
    </row>
    <row r="241" spans="1:19" ht="27" customHeight="1">
      <c r="A241" s="53"/>
      <c r="B241" s="53"/>
      <c r="C241" s="61"/>
      <c r="D241" s="34" t="s">
        <v>13</v>
      </c>
      <c r="E241" s="20"/>
      <c r="F241" s="20"/>
      <c r="G241" s="20"/>
      <c r="H241" s="13">
        <f t="shared" si="65"/>
        <v>0</v>
      </c>
      <c r="I241" s="26"/>
      <c r="J241" s="26"/>
      <c r="K241" s="26"/>
      <c r="L241" s="26"/>
      <c r="M241" s="15"/>
      <c r="N241" s="15"/>
      <c r="O241" s="15"/>
      <c r="P241" s="15"/>
      <c r="Q241" s="15"/>
      <c r="R241" s="15"/>
      <c r="S241" s="15"/>
    </row>
    <row r="242" spans="1:19" ht="89.25" customHeight="1">
      <c r="A242" s="6" t="s">
        <v>54</v>
      </c>
      <c r="B242" s="7" t="s">
        <v>56</v>
      </c>
      <c r="C242" s="7"/>
      <c r="D242" s="17" t="s">
        <v>2</v>
      </c>
      <c r="E242" s="21"/>
      <c r="F242" s="25"/>
      <c r="G242" s="21" t="s">
        <v>115</v>
      </c>
      <c r="H242" s="13">
        <f t="shared" si="65"/>
        <v>2319.996</v>
      </c>
      <c r="I242" s="26">
        <f aca="true" t="shared" si="80" ref="I242:N242">I243</f>
        <v>110.5</v>
      </c>
      <c r="J242" s="26">
        <f t="shared" si="80"/>
        <v>125.3</v>
      </c>
      <c r="K242" s="26">
        <f t="shared" si="80"/>
        <v>316.29999999999995</v>
      </c>
      <c r="L242" s="26">
        <f t="shared" si="80"/>
        <v>495.1</v>
      </c>
      <c r="M242" s="15">
        <f>M243</f>
        <v>223.084</v>
      </c>
      <c r="N242" s="15">
        <f t="shared" si="80"/>
        <v>128.412</v>
      </c>
      <c r="O242" s="15">
        <f>O243</f>
        <v>266.5</v>
      </c>
      <c r="P242" s="15">
        <f>P243</f>
        <v>266.5</v>
      </c>
      <c r="Q242" s="15">
        <f>Q243</f>
        <v>124.4</v>
      </c>
      <c r="R242" s="15">
        <f>R243</f>
        <v>129.4</v>
      </c>
      <c r="S242" s="15">
        <f>S243</f>
        <v>134.5</v>
      </c>
    </row>
    <row r="243" spans="1:19" ht="14.25" customHeight="1">
      <c r="A243" s="53" t="s">
        <v>55</v>
      </c>
      <c r="B243" s="53" t="s">
        <v>57</v>
      </c>
      <c r="C243" s="61" t="s">
        <v>100</v>
      </c>
      <c r="D243" s="17" t="s">
        <v>2</v>
      </c>
      <c r="E243" s="21"/>
      <c r="F243" s="25"/>
      <c r="G243" s="21" t="s">
        <v>142</v>
      </c>
      <c r="H243" s="13">
        <f t="shared" si="65"/>
        <v>2319.996</v>
      </c>
      <c r="I243" s="23">
        <f aca="true" t="shared" si="81" ref="I243:N243">SUM(I244:I246)</f>
        <v>110.5</v>
      </c>
      <c r="J243" s="23">
        <f t="shared" si="81"/>
        <v>125.3</v>
      </c>
      <c r="K243" s="23">
        <f t="shared" si="81"/>
        <v>316.29999999999995</v>
      </c>
      <c r="L243" s="23">
        <f t="shared" si="81"/>
        <v>495.1</v>
      </c>
      <c r="M243" s="13">
        <f>SUM(M244:M246)</f>
        <v>223.084</v>
      </c>
      <c r="N243" s="13">
        <f t="shared" si="81"/>
        <v>128.412</v>
      </c>
      <c r="O243" s="13">
        <f>SUM(O244:O246)</f>
        <v>266.5</v>
      </c>
      <c r="P243" s="13">
        <f>SUM(P244:P246)</f>
        <v>266.5</v>
      </c>
      <c r="Q243" s="13">
        <f>SUM(Q244:Q246)</f>
        <v>124.4</v>
      </c>
      <c r="R243" s="13">
        <f>SUM(R244:R246)</f>
        <v>129.4</v>
      </c>
      <c r="S243" s="13">
        <f>SUM(S244:S246)</f>
        <v>134.5</v>
      </c>
    </row>
    <row r="244" spans="1:19" ht="27" customHeight="1">
      <c r="A244" s="53"/>
      <c r="B244" s="53"/>
      <c r="C244" s="61"/>
      <c r="D244" s="34" t="s">
        <v>11</v>
      </c>
      <c r="E244" s="20"/>
      <c r="F244" s="20"/>
      <c r="G244" s="20"/>
      <c r="H244" s="13">
        <f t="shared" si="65"/>
        <v>0</v>
      </c>
      <c r="I244" s="26"/>
      <c r="J244" s="26"/>
      <c r="K244" s="26"/>
      <c r="L244" s="26"/>
      <c r="M244" s="15"/>
      <c r="N244" s="15"/>
      <c r="O244" s="15"/>
      <c r="P244" s="15"/>
      <c r="Q244" s="15"/>
      <c r="R244" s="15"/>
      <c r="S244" s="15"/>
    </row>
    <row r="245" spans="1:19" ht="27" customHeight="1">
      <c r="A245" s="53"/>
      <c r="B245" s="53"/>
      <c r="C245" s="61"/>
      <c r="D245" s="34" t="s">
        <v>20</v>
      </c>
      <c r="E245" s="20"/>
      <c r="F245" s="20"/>
      <c r="G245" s="20"/>
      <c r="H245" s="13">
        <f t="shared" si="65"/>
        <v>0</v>
      </c>
      <c r="I245" s="26"/>
      <c r="J245" s="26"/>
      <c r="K245" s="26"/>
      <c r="L245" s="26"/>
      <c r="M245" s="15"/>
      <c r="N245" s="15"/>
      <c r="O245" s="15"/>
      <c r="P245" s="15"/>
      <c r="Q245" s="15"/>
      <c r="R245" s="15"/>
      <c r="S245" s="15"/>
    </row>
    <row r="246" spans="1:19" ht="13.5" customHeight="1">
      <c r="A246" s="53"/>
      <c r="B246" s="53"/>
      <c r="C246" s="61"/>
      <c r="D246" s="62" t="s">
        <v>12</v>
      </c>
      <c r="E246" s="21"/>
      <c r="F246" s="20"/>
      <c r="G246" s="21" t="s">
        <v>142</v>
      </c>
      <c r="H246" s="13">
        <f t="shared" si="65"/>
        <v>2319.996</v>
      </c>
      <c r="I246" s="26">
        <f aca="true" t="shared" si="82" ref="I246:N246">SUM(I247:I250)</f>
        <v>110.5</v>
      </c>
      <c r="J246" s="26">
        <f t="shared" si="82"/>
        <v>125.3</v>
      </c>
      <c r="K246" s="26">
        <f t="shared" si="82"/>
        <v>316.29999999999995</v>
      </c>
      <c r="L246" s="26">
        <f t="shared" si="82"/>
        <v>495.1</v>
      </c>
      <c r="M246" s="15">
        <f>SUM(M247:M250)</f>
        <v>223.084</v>
      </c>
      <c r="N246" s="15">
        <f t="shared" si="82"/>
        <v>128.412</v>
      </c>
      <c r="O246" s="15">
        <f>SUM(O247:O250)</f>
        <v>266.5</v>
      </c>
      <c r="P246" s="15">
        <f>SUM(P247:P250)</f>
        <v>266.5</v>
      </c>
      <c r="Q246" s="15">
        <f>SUM(Q247:Q250)</f>
        <v>124.4</v>
      </c>
      <c r="R246" s="15">
        <f>SUM(R247:R250)</f>
        <v>129.4</v>
      </c>
      <c r="S246" s="15">
        <f>SUM(S247:S250)</f>
        <v>134.5</v>
      </c>
    </row>
    <row r="247" spans="1:19" ht="13.5" customHeight="1">
      <c r="A247" s="53"/>
      <c r="B247" s="53"/>
      <c r="C247" s="61"/>
      <c r="D247" s="62"/>
      <c r="E247" s="21" t="s">
        <v>104</v>
      </c>
      <c r="F247" s="21" t="s">
        <v>121</v>
      </c>
      <c r="G247" s="21" t="s">
        <v>142</v>
      </c>
      <c r="H247" s="13">
        <f t="shared" si="65"/>
        <v>90</v>
      </c>
      <c r="I247" s="26">
        <v>40</v>
      </c>
      <c r="J247" s="26">
        <v>10</v>
      </c>
      <c r="K247" s="26">
        <v>40</v>
      </c>
      <c r="L247" s="26"/>
      <c r="M247" s="15"/>
      <c r="N247" s="15"/>
      <c r="O247" s="15"/>
      <c r="P247" s="13">
        <v>0</v>
      </c>
      <c r="Q247" s="13">
        <v>0</v>
      </c>
      <c r="R247" s="13">
        <v>0</v>
      </c>
      <c r="S247" s="13">
        <v>0</v>
      </c>
    </row>
    <row r="248" spans="1:19" ht="13.5" customHeight="1">
      <c r="A248" s="53"/>
      <c r="B248" s="53"/>
      <c r="C248" s="61"/>
      <c r="D248" s="62"/>
      <c r="E248" s="21" t="s">
        <v>104</v>
      </c>
      <c r="F248" s="21" t="s">
        <v>127</v>
      </c>
      <c r="G248" s="21" t="s">
        <v>142</v>
      </c>
      <c r="H248" s="13">
        <f t="shared" si="65"/>
        <v>1328.941</v>
      </c>
      <c r="I248" s="26">
        <v>58</v>
      </c>
      <c r="J248" s="26">
        <v>58.3</v>
      </c>
      <c r="K248" s="26">
        <v>146.2</v>
      </c>
      <c r="L248" s="26">
        <v>379.2</v>
      </c>
      <c r="M248" s="13">
        <v>128.329</v>
      </c>
      <c r="N248" s="15">
        <f>166.5-138.088</f>
        <v>28.412000000000006</v>
      </c>
      <c r="O248" s="15">
        <v>166.5</v>
      </c>
      <c r="P248" s="15">
        <v>166.5</v>
      </c>
      <c r="Q248" s="13">
        <v>63.3</v>
      </c>
      <c r="R248" s="13">
        <v>65.8</v>
      </c>
      <c r="S248" s="13">
        <v>68.4</v>
      </c>
    </row>
    <row r="249" spans="1:19" ht="13.5" customHeight="1">
      <c r="A249" s="53"/>
      <c r="B249" s="53"/>
      <c r="C249" s="61"/>
      <c r="D249" s="62"/>
      <c r="E249" s="21" t="s">
        <v>104</v>
      </c>
      <c r="F249" s="21" t="s">
        <v>129</v>
      </c>
      <c r="G249" s="21" t="s">
        <v>142</v>
      </c>
      <c r="H249" s="13">
        <f t="shared" si="65"/>
        <v>28.3</v>
      </c>
      <c r="I249" s="26">
        <v>0</v>
      </c>
      <c r="J249" s="26">
        <v>0</v>
      </c>
      <c r="K249" s="26">
        <v>24.7</v>
      </c>
      <c r="L249" s="26">
        <v>3.6</v>
      </c>
      <c r="M249" s="15"/>
      <c r="N249" s="15"/>
      <c r="O249" s="15"/>
      <c r="P249" s="13">
        <v>0</v>
      </c>
      <c r="Q249" s="13">
        <v>0</v>
      </c>
      <c r="R249" s="13">
        <v>0</v>
      </c>
      <c r="S249" s="13">
        <v>0</v>
      </c>
    </row>
    <row r="250" spans="1:19" ht="13.5" customHeight="1">
      <c r="A250" s="53"/>
      <c r="B250" s="53"/>
      <c r="C250" s="61"/>
      <c r="D250" s="62"/>
      <c r="E250" s="21" t="s">
        <v>104</v>
      </c>
      <c r="F250" s="21" t="s">
        <v>120</v>
      </c>
      <c r="G250" s="21" t="s">
        <v>142</v>
      </c>
      <c r="H250" s="13">
        <f t="shared" si="65"/>
        <v>872.755</v>
      </c>
      <c r="I250" s="26">
        <v>12.5</v>
      </c>
      <c r="J250" s="26">
        <v>57</v>
      </c>
      <c r="K250" s="26">
        <v>105.4</v>
      </c>
      <c r="L250" s="26">
        <v>112.3</v>
      </c>
      <c r="M250" s="13">
        <v>94.755</v>
      </c>
      <c r="N250" s="15">
        <v>100</v>
      </c>
      <c r="O250" s="15">
        <v>100</v>
      </c>
      <c r="P250" s="15">
        <v>100</v>
      </c>
      <c r="Q250" s="13">
        <v>61.1</v>
      </c>
      <c r="R250" s="13">
        <v>63.6</v>
      </c>
      <c r="S250" s="13">
        <v>66.1</v>
      </c>
    </row>
    <row r="251" spans="1:19" ht="25.5" customHeight="1">
      <c r="A251" s="53"/>
      <c r="B251" s="53"/>
      <c r="C251" s="61"/>
      <c r="D251" s="34" t="s">
        <v>14</v>
      </c>
      <c r="E251" s="20"/>
      <c r="F251" s="20"/>
      <c r="G251" s="20"/>
      <c r="H251" s="13">
        <f t="shared" si="65"/>
        <v>0</v>
      </c>
      <c r="I251" s="26"/>
      <c r="J251" s="26"/>
      <c r="K251" s="26"/>
      <c r="L251" s="26"/>
      <c r="M251" s="15"/>
      <c r="N251" s="15"/>
      <c r="O251" s="15"/>
      <c r="P251" s="15"/>
      <c r="Q251" s="15"/>
      <c r="R251" s="15"/>
      <c r="S251" s="15"/>
    </row>
    <row r="252" spans="1:19" ht="25.5" customHeight="1">
      <c r="A252" s="53"/>
      <c r="B252" s="53"/>
      <c r="C252" s="61"/>
      <c r="D252" s="34" t="s">
        <v>13</v>
      </c>
      <c r="E252" s="20"/>
      <c r="F252" s="20"/>
      <c r="G252" s="20"/>
      <c r="H252" s="13">
        <f t="shared" si="65"/>
        <v>0</v>
      </c>
      <c r="I252" s="26"/>
      <c r="J252" s="26"/>
      <c r="K252" s="26"/>
      <c r="L252" s="26"/>
      <c r="M252" s="15"/>
      <c r="N252" s="15"/>
      <c r="O252" s="15"/>
      <c r="P252" s="15"/>
      <c r="Q252" s="15"/>
      <c r="R252" s="15"/>
      <c r="S252" s="15"/>
    </row>
    <row r="253" spans="1:19" ht="16.5" customHeight="1">
      <c r="A253" s="11">
        <v>1</v>
      </c>
      <c r="B253" s="11">
        <v>2</v>
      </c>
      <c r="C253" s="11">
        <f aca="true" t="shared" si="83" ref="C253:S253">B253+1</f>
        <v>3</v>
      </c>
      <c r="D253" s="35">
        <f t="shared" si="83"/>
        <v>4</v>
      </c>
      <c r="E253" s="11">
        <f t="shared" si="83"/>
        <v>5</v>
      </c>
      <c r="F253" s="11">
        <f t="shared" si="83"/>
        <v>6</v>
      </c>
      <c r="G253" s="11">
        <f t="shared" si="83"/>
        <v>7</v>
      </c>
      <c r="H253" s="24">
        <f t="shared" si="83"/>
        <v>8</v>
      </c>
      <c r="I253" s="24">
        <f t="shared" si="83"/>
        <v>9</v>
      </c>
      <c r="J253" s="24">
        <f t="shared" si="83"/>
        <v>10</v>
      </c>
      <c r="K253" s="24">
        <f t="shared" si="83"/>
        <v>11</v>
      </c>
      <c r="L253" s="24">
        <f t="shared" si="83"/>
        <v>12</v>
      </c>
      <c r="M253" s="24">
        <f t="shared" si="83"/>
        <v>13</v>
      </c>
      <c r="N253" s="24">
        <f t="shared" si="83"/>
        <v>14</v>
      </c>
      <c r="O253" s="24">
        <f t="shared" si="83"/>
        <v>15</v>
      </c>
      <c r="P253" s="24">
        <f t="shared" si="83"/>
        <v>16</v>
      </c>
      <c r="Q253" s="24">
        <f t="shared" si="83"/>
        <v>17</v>
      </c>
      <c r="R253" s="24">
        <f t="shared" si="83"/>
        <v>18</v>
      </c>
      <c r="S253" s="24">
        <f t="shared" si="83"/>
        <v>19</v>
      </c>
    </row>
    <row r="254" spans="1:19" ht="77.25" customHeight="1">
      <c r="A254" s="6" t="s">
        <v>58</v>
      </c>
      <c r="B254" s="7" t="s">
        <v>79</v>
      </c>
      <c r="C254" s="7"/>
      <c r="D254" s="17" t="s">
        <v>2</v>
      </c>
      <c r="E254" s="21"/>
      <c r="F254" s="25"/>
      <c r="G254" s="21" t="s">
        <v>116</v>
      </c>
      <c r="H254" s="13">
        <f t="shared" si="65"/>
        <v>139014.531</v>
      </c>
      <c r="I254" s="26">
        <f aca="true" t="shared" si="84" ref="I254:S254">I255+I261+I267+I280+I274+I286+I293+I299</f>
        <v>11890.699999999999</v>
      </c>
      <c r="J254" s="26">
        <f t="shared" si="84"/>
        <v>12879.500000000002</v>
      </c>
      <c r="K254" s="26">
        <f t="shared" si="84"/>
        <v>11591.7</v>
      </c>
      <c r="L254" s="26">
        <f t="shared" si="84"/>
        <v>10724.6</v>
      </c>
      <c r="M254" s="15">
        <f t="shared" si="84"/>
        <v>9824.943</v>
      </c>
      <c r="N254" s="15">
        <f t="shared" si="84"/>
        <v>12227.537</v>
      </c>
      <c r="O254" s="15">
        <f t="shared" si="84"/>
        <v>12935.431</v>
      </c>
      <c r="P254" s="15">
        <f t="shared" si="84"/>
        <v>12964.419999999998</v>
      </c>
      <c r="Q254" s="15">
        <f t="shared" si="84"/>
        <v>14087.499999999998</v>
      </c>
      <c r="R254" s="15">
        <f t="shared" si="84"/>
        <v>14651.1</v>
      </c>
      <c r="S254" s="15">
        <f t="shared" si="84"/>
        <v>15237.099999999999</v>
      </c>
    </row>
    <row r="255" spans="1:19" ht="12.75" customHeight="1">
      <c r="A255" s="53" t="s">
        <v>59</v>
      </c>
      <c r="B255" s="53" t="s">
        <v>60</v>
      </c>
      <c r="C255" s="61" t="s">
        <v>100</v>
      </c>
      <c r="D255" s="17" t="s">
        <v>2</v>
      </c>
      <c r="E255" s="21"/>
      <c r="F255" s="25"/>
      <c r="G255" s="21" t="s">
        <v>143</v>
      </c>
      <c r="H255" s="13">
        <f t="shared" si="65"/>
        <v>20308.847</v>
      </c>
      <c r="I255" s="23">
        <f aca="true" t="shared" si="85" ref="I255:N255">SUM(I256:I260)</f>
        <v>1760</v>
      </c>
      <c r="J255" s="23">
        <f t="shared" si="85"/>
        <v>1796.8000000000002</v>
      </c>
      <c r="K255" s="23">
        <f t="shared" si="85"/>
        <v>1902.2</v>
      </c>
      <c r="L255" s="23">
        <f t="shared" si="85"/>
        <v>1673.5</v>
      </c>
      <c r="M255" s="13">
        <f>SUM(M256:M260)</f>
        <v>1162.646</v>
      </c>
      <c r="N255" s="13">
        <f t="shared" si="85"/>
        <v>1519.101</v>
      </c>
      <c r="O255" s="13">
        <f>SUM(O256:O260)</f>
        <v>1577.2</v>
      </c>
      <c r="P255" s="13">
        <f>SUM(P256:P260)</f>
        <v>1577.2</v>
      </c>
      <c r="Q255" s="13">
        <f>SUM(Q256:Q260)</f>
        <v>2351.4</v>
      </c>
      <c r="R255" s="13">
        <f>SUM(R256:R260)</f>
        <v>2445.5</v>
      </c>
      <c r="S255" s="13">
        <f>SUM(S256:S260)</f>
        <v>2543.3</v>
      </c>
    </row>
    <row r="256" spans="1:19" ht="27" customHeight="1">
      <c r="A256" s="53"/>
      <c r="B256" s="53"/>
      <c r="C256" s="61"/>
      <c r="D256" s="34" t="s">
        <v>11</v>
      </c>
      <c r="E256" s="20"/>
      <c r="F256" s="20"/>
      <c r="G256" s="20"/>
      <c r="H256" s="13">
        <f t="shared" si="65"/>
        <v>0</v>
      </c>
      <c r="I256" s="26"/>
      <c r="J256" s="26"/>
      <c r="K256" s="26"/>
      <c r="L256" s="26"/>
      <c r="M256" s="15"/>
      <c r="N256" s="15"/>
      <c r="O256" s="15"/>
      <c r="P256" s="15"/>
      <c r="Q256" s="15"/>
      <c r="R256" s="15"/>
      <c r="S256" s="15"/>
    </row>
    <row r="257" spans="1:19" ht="27" customHeight="1">
      <c r="A257" s="53"/>
      <c r="B257" s="53"/>
      <c r="C257" s="61"/>
      <c r="D257" s="34" t="s">
        <v>20</v>
      </c>
      <c r="E257" s="20"/>
      <c r="F257" s="20"/>
      <c r="G257" s="20"/>
      <c r="H257" s="13">
        <f t="shared" si="65"/>
        <v>0</v>
      </c>
      <c r="I257" s="26"/>
      <c r="J257" s="26"/>
      <c r="K257" s="26"/>
      <c r="L257" s="26"/>
      <c r="M257" s="15"/>
      <c r="N257" s="15"/>
      <c r="O257" s="15"/>
      <c r="P257" s="15"/>
      <c r="Q257" s="15"/>
      <c r="R257" s="15"/>
      <c r="S257" s="15"/>
    </row>
    <row r="258" spans="1:19" ht="27" customHeight="1">
      <c r="A258" s="53"/>
      <c r="B258" s="53"/>
      <c r="C258" s="61"/>
      <c r="D258" s="34" t="s">
        <v>12</v>
      </c>
      <c r="E258" s="21" t="s">
        <v>104</v>
      </c>
      <c r="F258" s="21" t="s">
        <v>124</v>
      </c>
      <c r="G258" s="21" t="s">
        <v>143</v>
      </c>
      <c r="H258" s="13">
        <f t="shared" si="65"/>
        <v>20308.847</v>
      </c>
      <c r="I258" s="26">
        <v>1760</v>
      </c>
      <c r="J258" s="26">
        <v>1796.8000000000002</v>
      </c>
      <c r="K258" s="26">
        <v>1902.2</v>
      </c>
      <c r="L258" s="26">
        <v>1673.5</v>
      </c>
      <c r="M258" s="13">
        <v>1162.646</v>
      </c>
      <c r="N258" s="15">
        <v>1519.101</v>
      </c>
      <c r="O258" s="15">
        <v>1577.2</v>
      </c>
      <c r="P258" s="13">
        <v>1577.2</v>
      </c>
      <c r="Q258" s="13">
        <v>2351.4</v>
      </c>
      <c r="R258" s="13">
        <v>2445.5</v>
      </c>
      <c r="S258" s="13">
        <v>2543.3</v>
      </c>
    </row>
    <row r="259" spans="1:19" ht="27" customHeight="1">
      <c r="A259" s="53"/>
      <c r="B259" s="53"/>
      <c r="C259" s="61"/>
      <c r="D259" s="34" t="s">
        <v>14</v>
      </c>
      <c r="E259" s="20"/>
      <c r="F259" s="20"/>
      <c r="G259" s="20"/>
      <c r="H259" s="13">
        <f t="shared" si="65"/>
        <v>0</v>
      </c>
      <c r="I259" s="26"/>
      <c r="J259" s="26"/>
      <c r="K259" s="26"/>
      <c r="L259" s="26"/>
      <c r="M259" s="15"/>
      <c r="N259" s="15"/>
      <c r="O259" s="15"/>
      <c r="P259" s="15"/>
      <c r="Q259" s="15"/>
      <c r="R259" s="15"/>
      <c r="S259" s="15"/>
    </row>
    <row r="260" spans="1:19" ht="27" customHeight="1">
      <c r="A260" s="53"/>
      <c r="B260" s="53"/>
      <c r="C260" s="61"/>
      <c r="D260" s="34" t="s">
        <v>13</v>
      </c>
      <c r="E260" s="20"/>
      <c r="F260" s="20"/>
      <c r="G260" s="20"/>
      <c r="H260" s="13">
        <f t="shared" si="65"/>
        <v>0</v>
      </c>
      <c r="I260" s="26"/>
      <c r="J260" s="26"/>
      <c r="K260" s="26"/>
      <c r="L260" s="26"/>
      <c r="M260" s="15"/>
      <c r="N260" s="15"/>
      <c r="O260" s="15"/>
      <c r="P260" s="15"/>
      <c r="Q260" s="15"/>
      <c r="R260" s="15"/>
      <c r="S260" s="15"/>
    </row>
    <row r="261" spans="1:19" ht="12.75" customHeight="1">
      <c r="A261" s="53" t="s">
        <v>61</v>
      </c>
      <c r="B261" s="53" t="s">
        <v>62</v>
      </c>
      <c r="C261" s="61" t="s">
        <v>100</v>
      </c>
      <c r="D261" s="17" t="s">
        <v>2</v>
      </c>
      <c r="E261" s="21"/>
      <c r="F261" s="25"/>
      <c r="G261" s="21" t="s">
        <v>144</v>
      </c>
      <c r="H261" s="13">
        <f t="shared" si="65"/>
        <v>11971.5</v>
      </c>
      <c r="I261" s="23">
        <f aca="true" t="shared" si="86" ref="I261:N261">SUM(I262:I266)</f>
        <v>1204</v>
      </c>
      <c r="J261" s="23">
        <f t="shared" si="86"/>
        <v>1185.8999999999999</v>
      </c>
      <c r="K261" s="23">
        <f t="shared" si="86"/>
        <v>1083.8</v>
      </c>
      <c r="L261" s="23">
        <f t="shared" si="86"/>
        <v>805.5</v>
      </c>
      <c r="M261" s="13">
        <f>SUM(M262:M266)</f>
        <v>499.8</v>
      </c>
      <c r="N261" s="13">
        <f t="shared" si="86"/>
        <v>794.2</v>
      </c>
      <c r="O261" s="13">
        <f>SUM(O262:O266)</f>
        <v>794.2</v>
      </c>
      <c r="P261" s="13">
        <f>SUM(P262:P266)</f>
        <v>794.2</v>
      </c>
      <c r="Q261" s="13">
        <f>SUM(Q262:Q266)</f>
        <v>1540.8</v>
      </c>
      <c r="R261" s="13">
        <f>SUM(R262:R266)</f>
        <v>1602.5</v>
      </c>
      <c r="S261" s="13">
        <f>SUM(S262:S266)</f>
        <v>1666.6</v>
      </c>
    </row>
    <row r="262" spans="1:19" ht="27" customHeight="1">
      <c r="A262" s="53"/>
      <c r="B262" s="53"/>
      <c r="C262" s="61"/>
      <c r="D262" s="34" t="s">
        <v>11</v>
      </c>
      <c r="E262" s="20"/>
      <c r="F262" s="20"/>
      <c r="G262" s="20"/>
      <c r="H262" s="13">
        <f t="shared" si="65"/>
        <v>0</v>
      </c>
      <c r="I262" s="26"/>
      <c r="J262" s="26"/>
      <c r="K262" s="26"/>
      <c r="L262" s="26"/>
      <c r="M262" s="15"/>
      <c r="N262" s="15"/>
      <c r="O262" s="15"/>
      <c r="P262" s="15"/>
      <c r="Q262" s="15"/>
      <c r="R262" s="15"/>
      <c r="S262" s="15"/>
    </row>
    <row r="263" spans="1:19" ht="27" customHeight="1">
      <c r="A263" s="53"/>
      <c r="B263" s="53"/>
      <c r="C263" s="61"/>
      <c r="D263" s="34" t="s">
        <v>20</v>
      </c>
      <c r="E263" s="20"/>
      <c r="F263" s="20"/>
      <c r="G263" s="20"/>
      <c r="H263" s="13">
        <f t="shared" si="65"/>
        <v>0</v>
      </c>
      <c r="I263" s="26"/>
      <c r="J263" s="26"/>
      <c r="K263" s="26"/>
      <c r="L263" s="26"/>
      <c r="M263" s="15"/>
      <c r="N263" s="15"/>
      <c r="O263" s="15"/>
      <c r="P263" s="15"/>
      <c r="Q263" s="15"/>
      <c r="R263" s="15"/>
      <c r="S263" s="15"/>
    </row>
    <row r="264" spans="1:19" ht="27" customHeight="1">
      <c r="A264" s="53"/>
      <c r="B264" s="53"/>
      <c r="C264" s="61"/>
      <c r="D264" s="34" t="s">
        <v>12</v>
      </c>
      <c r="E264" s="21" t="s">
        <v>104</v>
      </c>
      <c r="F264" s="21" t="s">
        <v>124</v>
      </c>
      <c r="G264" s="21" t="s">
        <v>144</v>
      </c>
      <c r="H264" s="13">
        <f t="shared" si="65"/>
        <v>11971.5</v>
      </c>
      <c r="I264" s="26">
        <v>1204</v>
      </c>
      <c r="J264" s="26">
        <v>1185.8999999999999</v>
      </c>
      <c r="K264" s="26">
        <v>1083.8</v>
      </c>
      <c r="L264" s="26">
        <v>805.5</v>
      </c>
      <c r="M264" s="13">
        <v>499.8</v>
      </c>
      <c r="N264" s="15">
        <v>794.2</v>
      </c>
      <c r="O264" s="15">
        <v>794.2</v>
      </c>
      <c r="P264" s="15">
        <v>794.2</v>
      </c>
      <c r="Q264" s="13">
        <v>1540.8</v>
      </c>
      <c r="R264" s="13">
        <v>1602.5</v>
      </c>
      <c r="S264" s="13">
        <v>1666.6</v>
      </c>
    </row>
    <row r="265" spans="1:19" ht="27" customHeight="1">
      <c r="A265" s="53"/>
      <c r="B265" s="53"/>
      <c r="C265" s="61"/>
      <c r="D265" s="34" t="s">
        <v>14</v>
      </c>
      <c r="E265" s="20"/>
      <c r="F265" s="20"/>
      <c r="G265" s="20"/>
      <c r="H265" s="13">
        <f t="shared" si="65"/>
        <v>0</v>
      </c>
      <c r="I265" s="26"/>
      <c r="J265" s="26"/>
      <c r="K265" s="26"/>
      <c r="L265" s="26"/>
      <c r="M265" s="15"/>
      <c r="N265" s="15"/>
      <c r="O265" s="15"/>
      <c r="P265" s="15"/>
      <c r="Q265" s="15"/>
      <c r="R265" s="15"/>
      <c r="S265" s="15"/>
    </row>
    <row r="266" spans="1:19" ht="27" customHeight="1">
      <c r="A266" s="53"/>
      <c r="B266" s="53"/>
      <c r="C266" s="61"/>
      <c r="D266" s="34" t="s">
        <v>13</v>
      </c>
      <c r="E266" s="20"/>
      <c r="F266" s="20"/>
      <c r="G266" s="20"/>
      <c r="H266" s="13">
        <f t="shared" si="65"/>
        <v>0</v>
      </c>
      <c r="I266" s="26"/>
      <c r="J266" s="26"/>
      <c r="K266" s="26"/>
      <c r="L266" s="26"/>
      <c r="M266" s="15"/>
      <c r="N266" s="15"/>
      <c r="O266" s="15"/>
      <c r="P266" s="15"/>
      <c r="Q266" s="15"/>
      <c r="R266" s="15"/>
      <c r="S266" s="15"/>
    </row>
    <row r="267" spans="1:19" ht="14.25" customHeight="1">
      <c r="A267" s="53" t="s">
        <v>63</v>
      </c>
      <c r="B267" s="53" t="s">
        <v>194</v>
      </c>
      <c r="C267" s="61" t="s">
        <v>100</v>
      </c>
      <c r="D267" s="17" t="s">
        <v>2</v>
      </c>
      <c r="E267" s="21"/>
      <c r="F267" s="20"/>
      <c r="G267" s="21" t="s">
        <v>145</v>
      </c>
      <c r="H267" s="13">
        <f t="shared" si="65"/>
        <v>86051.053</v>
      </c>
      <c r="I267" s="23">
        <f aca="true" t="shared" si="87" ref="I267:N267">SUM(I268:I272)</f>
        <v>8140.4</v>
      </c>
      <c r="J267" s="23">
        <f t="shared" si="87"/>
        <v>8336.7</v>
      </c>
      <c r="K267" s="23">
        <f t="shared" si="87"/>
        <v>7270.9</v>
      </c>
      <c r="L267" s="23">
        <f t="shared" si="87"/>
        <v>6074.3</v>
      </c>
      <c r="M267" s="13">
        <f>SUM(M268:M272)</f>
        <v>6207.059</v>
      </c>
      <c r="N267" s="13">
        <f t="shared" si="87"/>
        <v>7591.074</v>
      </c>
      <c r="O267" s="13">
        <f>SUM(O268:O272)</f>
        <v>7800.01</v>
      </c>
      <c r="P267" s="13">
        <f>SUM(P268:P272)</f>
        <v>7800.01</v>
      </c>
      <c r="Q267" s="13">
        <f>SUM(Q268:Q272)</f>
        <v>8595.1</v>
      </c>
      <c r="R267" s="13">
        <f>SUM(R268:R272)</f>
        <v>8939</v>
      </c>
      <c r="S267" s="13">
        <f>SUM(S268:S272)</f>
        <v>9296.5</v>
      </c>
    </row>
    <row r="268" spans="1:19" ht="27" customHeight="1">
      <c r="A268" s="53"/>
      <c r="B268" s="53"/>
      <c r="C268" s="61"/>
      <c r="D268" s="34" t="s">
        <v>11</v>
      </c>
      <c r="E268" s="20"/>
      <c r="F268" s="20"/>
      <c r="G268" s="20"/>
      <c r="H268" s="13">
        <f aca="true" t="shared" si="88" ref="H268:H334">I268+J268+K268+L268+M268+N268+O268+P268+Q268+R268+S268</f>
        <v>0</v>
      </c>
      <c r="I268" s="26"/>
      <c r="J268" s="26"/>
      <c r="K268" s="26"/>
      <c r="L268" s="26"/>
      <c r="M268" s="15"/>
      <c r="N268" s="15"/>
      <c r="O268" s="15"/>
      <c r="P268" s="15"/>
      <c r="Q268" s="15"/>
      <c r="R268" s="15"/>
      <c r="S268" s="15"/>
    </row>
    <row r="269" spans="1:19" ht="27" customHeight="1">
      <c r="A269" s="53"/>
      <c r="B269" s="53"/>
      <c r="C269" s="61"/>
      <c r="D269" s="34" t="s">
        <v>20</v>
      </c>
      <c r="E269" s="21" t="s">
        <v>104</v>
      </c>
      <c r="F269" s="21" t="s">
        <v>124</v>
      </c>
      <c r="G269" s="21" t="s">
        <v>145</v>
      </c>
      <c r="H269" s="13">
        <f t="shared" si="88"/>
        <v>86051.053</v>
      </c>
      <c r="I269" s="26">
        <v>8140.4</v>
      </c>
      <c r="J269" s="26">
        <f>8278.6+58.1</f>
        <v>8336.7</v>
      </c>
      <c r="K269" s="26">
        <v>7270.9</v>
      </c>
      <c r="L269" s="26">
        <v>6074.3</v>
      </c>
      <c r="M269" s="13">
        <v>6207.059</v>
      </c>
      <c r="N269" s="15">
        <v>7591.074</v>
      </c>
      <c r="O269" s="15">
        <v>7800.01</v>
      </c>
      <c r="P269" s="15">
        <v>7800.01</v>
      </c>
      <c r="Q269" s="13">
        <f>8595.2-0.1</f>
        <v>8595.1</v>
      </c>
      <c r="R269" s="13">
        <v>8939</v>
      </c>
      <c r="S269" s="13">
        <v>9296.5</v>
      </c>
    </row>
    <row r="270" spans="1:19" ht="27" customHeight="1">
      <c r="A270" s="53"/>
      <c r="B270" s="53"/>
      <c r="C270" s="61"/>
      <c r="D270" s="34" t="s">
        <v>12</v>
      </c>
      <c r="E270" s="20"/>
      <c r="F270" s="20"/>
      <c r="G270" s="20"/>
      <c r="H270" s="13">
        <f t="shared" si="88"/>
        <v>0</v>
      </c>
      <c r="I270" s="26"/>
      <c r="J270" s="26"/>
      <c r="K270" s="26"/>
      <c r="L270" s="26"/>
      <c r="M270" s="15"/>
      <c r="N270" s="15"/>
      <c r="O270" s="15"/>
      <c r="P270" s="15"/>
      <c r="Q270" s="15"/>
      <c r="R270" s="15"/>
      <c r="S270" s="15"/>
    </row>
    <row r="271" spans="1:19" ht="27" customHeight="1">
      <c r="A271" s="53"/>
      <c r="B271" s="53"/>
      <c r="C271" s="61"/>
      <c r="D271" s="34" t="s">
        <v>14</v>
      </c>
      <c r="E271" s="20"/>
      <c r="F271" s="20"/>
      <c r="G271" s="20"/>
      <c r="H271" s="13">
        <f t="shared" si="88"/>
        <v>0</v>
      </c>
      <c r="I271" s="26"/>
      <c r="J271" s="26"/>
      <c r="K271" s="26"/>
      <c r="L271" s="26"/>
      <c r="M271" s="15"/>
      <c r="N271" s="15"/>
      <c r="O271" s="15"/>
      <c r="P271" s="15"/>
      <c r="Q271" s="15"/>
      <c r="R271" s="15"/>
      <c r="S271" s="15"/>
    </row>
    <row r="272" spans="1:19" ht="56.25" customHeight="1">
      <c r="A272" s="53"/>
      <c r="B272" s="53"/>
      <c r="C272" s="61"/>
      <c r="D272" s="34" t="s">
        <v>13</v>
      </c>
      <c r="E272" s="20"/>
      <c r="F272" s="20"/>
      <c r="G272" s="20"/>
      <c r="H272" s="13">
        <f t="shared" si="88"/>
        <v>0</v>
      </c>
      <c r="I272" s="26"/>
      <c r="J272" s="26"/>
      <c r="K272" s="26"/>
      <c r="L272" s="26"/>
      <c r="M272" s="15"/>
      <c r="N272" s="15"/>
      <c r="O272" s="15"/>
      <c r="P272" s="15"/>
      <c r="Q272" s="15"/>
      <c r="R272" s="15"/>
      <c r="S272" s="15"/>
    </row>
    <row r="273" spans="1:19" ht="15.75" customHeight="1">
      <c r="A273" s="9">
        <v>1</v>
      </c>
      <c r="B273" s="9">
        <v>2</v>
      </c>
      <c r="C273" s="9">
        <f aca="true" t="shared" si="89" ref="C273:S273">B273+1</f>
        <v>3</v>
      </c>
      <c r="D273" s="34">
        <f t="shared" si="89"/>
        <v>4</v>
      </c>
      <c r="E273" s="9">
        <f t="shared" si="89"/>
        <v>5</v>
      </c>
      <c r="F273" s="9">
        <f t="shared" si="89"/>
        <v>6</v>
      </c>
      <c r="G273" s="9">
        <f t="shared" si="89"/>
        <v>7</v>
      </c>
      <c r="H273" s="24">
        <f t="shared" si="89"/>
        <v>8</v>
      </c>
      <c r="I273" s="24">
        <f t="shared" si="89"/>
        <v>9</v>
      </c>
      <c r="J273" s="24">
        <f t="shared" si="89"/>
        <v>10</v>
      </c>
      <c r="K273" s="24">
        <f t="shared" si="89"/>
        <v>11</v>
      </c>
      <c r="L273" s="24">
        <f t="shared" si="89"/>
        <v>12</v>
      </c>
      <c r="M273" s="24">
        <f t="shared" si="89"/>
        <v>13</v>
      </c>
      <c r="N273" s="24">
        <f t="shared" si="89"/>
        <v>14</v>
      </c>
      <c r="O273" s="24">
        <f t="shared" si="89"/>
        <v>15</v>
      </c>
      <c r="P273" s="24">
        <f t="shared" si="89"/>
        <v>16</v>
      </c>
      <c r="Q273" s="24">
        <f t="shared" si="89"/>
        <v>17</v>
      </c>
      <c r="R273" s="24">
        <f t="shared" si="89"/>
        <v>18</v>
      </c>
      <c r="S273" s="24">
        <f t="shared" si="89"/>
        <v>19</v>
      </c>
    </row>
    <row r="274" spans="1:19" ht="39" customHeight="1">
      <c r="A274" s="53" t="s">
        <v>70</v>
      </c>
      <c r="B274" s="53" t="s">
        <v>195</v>
      </c>
      <c r="C274" s="61" t="s">
        <v>100</v>
      </c>
      <c r="D274" s="17" t="s">
        <v>2</v>
      </c>
      <c r="E274" s="21"/>
      <c r="F274" s="20"/>
      <c r="G274" s="21" t="s">
        <v>146</v>
      </c>
      <c r="H274" s="13">
        <f t="shared" si="88"/>
        <v>9600.168000000001</v>
      </c>
      <c r="I274" s="23">
        <f aca="true" t="shared" si="90" ref="I274:N274">SUM(I275:I279)</f>
        <v>786.3</v>
      </c>
      <c r="J274" s="23">
        <f t="shared" si="90"/>
        <v>1504.7</v>
      </c>
      <c r="K274" s="23">
        <f t="shared" si="90"/>
        <v>825.6</v>
      </c>
      <c r="L274" s="23">
        <f t="shared" si="90"/>
        <v>829.5</v>
      </c>
      <c r="M274" s="13">
        <f>SUM(M275:M279)</f>
        <v>445.909</v>
      </c>
      <c r="N274" s="13">
        <f t="shared" si="90"/>
        <v>797.118</v>
      </c>
      <c r="O274" s="13">
        <f>SUM(O275:O279)</f>
        <v>1216.276</v>
      </c>
      <c r="P274" s="13">
        <f>SUM(P275:P279)</f>
        <v>1245.265</v>
      </c>
      <c r="Q274" s="13">
        <f>SUM(Q275:Q279)</f>
        <v>624.5</v>
      </c>
      <c r="R274" s="13">
        <f>SUM(R275:R279)</f>
        <v>649.5</v>
      </c>
      <c r="S274" s="13">
        <f>SUM(S275:S279)</f>
        <v>675.5</v>
      </c>
    </row>
    <row r="275" spans="1:19" ht="39" customHeight="1">
      <c r="A275" s="53"/>
      <c r="B275" s="53"/>
      <c r="C275" s="61"/>
      <c r="D275" s="34" t="s">
        <v>11</v>
      </c>
      <c r="E275" s="20"/>
      <c r="F275" s="20"/>
      <c r="G275" s="20"/>
      <c r="H275" s="13">
        <f t="shared" si="88"/>
        <v>0</v>
      </c>
      <c r="I275" s="26"/>
      <c r="J275" s="26"/>
      <c r="K275" s="26"/>
      <c r="L275" s="26"/>
      <c r="M275" s="15"/>
      <c r="N275" s="15"/>
      <c r="O275" s="15"/>
      <c r="P275" s="15"/>
      <c r="Q275" s="15"/>
      <c r="R275" s="15"/>
      <c r="S275" s="15"/>
    </row>
    <row r="276" spans="1:19" ht="39" customHeight="1">
      <c r="A276" s="53"/>
      <c r="B276" s="53"/>
      <c r="C276" s="61"/>
      <c r="D276" s="34" t="s">
        <v>20</v>
      </c>
      <c r="E276" s="21" t="s">
        <v>104</v>
      </c>
      <c r="F276" s="21" t="s">
        <v>124</v>
      </c>
      <c r="G276" s="21" t="s">
        <v>146</v>
      </c>
      <c r="H276" s="13">
        <f t="shared" si="88"/>
        <v>9600.168000000001</v>
      </c>
      <c r="I276" s="26">
        <v>786.3</v>
      </c>
      <c r="J276" s="26">
        <v>1504.7</v>
      </c>
      <c r="K276" s="26">
        <v>825.6</v>
      </c>
      <c r="L276" s="26">
        <v>829.5</v>
      </c>
      <c r="M276" s="13">
        <v>445.909</v>
      </c>
      <c r="N276" s="15">
        <v>797.118</v>
      </c>
      <c r="O276" s="15">
        <v>1216.276</v>
      </c>
      <c r="P276" s="15">
        <v>1245.265</v>
      </c>
      <c r="Q276" s="13">
        <v>624.5</v>
      </c>
      <c r="R276" s="13">
        <v>649.5</v>
      </c>
      <c r="S276" s="13">
        <v>675.5</v>
      </c>
    </row>
    <row r="277" spans="1:19" ht="30" customHeight="1">
      <c r="A277" s="53"/>
      <c r="B277" s="53"/>
      <c r="C277" s="61"/>
      <c r="D277" s="34" t="s">
        <v>12</v>
      </c>
      <c r="E277" s="20"/>
      <c r="F277" s="20"/>
      <c r="G277" s="20"/>
      <c r="H277" s="13">
        <f t="shared" si="88"/>
        <v>0</v>
      </c>
      <c r="I277" s="26"/>
      <c r="J277" s="26"/>
      <c r="K277" s="26"/>
      <c r="L277" s="26"/>
      <c r="M277" s="15"/>
      <c r="N277" s="15"/>
      <c r="O277" s="15"/>
      <c r="P277" s="15"/>
      <c r="Q277" s="15"/>
      <c r="R277" s="15"/>
      <c r="S277" s="15"/>
    </row>
    <row r="278" spans="1:19" ht="33.75" customHeight="1">
      <c r="A278" s="53"/>
      <c r="B278" s="53"/>
      <c r="C278" s="61"/>
      <c r="D278" s="34" t="s">
        <v>14</v>
      </c>
      <c r="E278" s="20"/>
      <c r="F278" s="20"/>
      <c r="G278" s="20"/>
      <c r="H278" s="13">
        <f t="shared" si="88"/>
        <v>0</v>
      </c>
      <c r="I278" s="26"/>
      <c r="J278" s="26"/>
      <c r="K278" s="26"/>
      <c r="L278" s="26"/>
      <c r="M278" s="15"/>
      <c r="N278" s="15"/>
      <c r="O278" s="15"/>
      <c r="P278" s="15"/>
      <c r="Q278" s="15"/>
      <c r="R278" s="15"/>
      <c r="S278" s="15"/>
    </row>
    <row r="279" spans="1:19" ht="30.75" customHeight="1">
      <c r="A279" s="53"/>
      <c r="B279" s="53"/>
      <c r="C279" s="61"/>
      <c r="D279" s="34" t="s">
        <v>13</v>
      </c>
      <c r="E279" s="20"/>
      <c r="F279" s="20"/>
      <c r="G279" s="20"/>
      <c r="H279" s="13">
        <f t="shared" si="88"/>
        <v>0</v>
      </c>
      <c r="I279" s="26"/>
      <c r="J279" s="26"/>
      <c r="K279" s="26"/>
      <c r="L279" s="26"/>
      <c r="M279" s="15"/>
      <c r="N279" s="15"/>
      <c r="O279" s="15"/>
      <c r="P279" s="15"/>
      <c r="Q279" s="15"/>
      <c r="R279" s="15"/>
      <c r="S279" s="15"/>
    </row>
    <row r="280" spans="1:19" ht="13.5" customHeight="1">
      <c r="A280" s="53" t="s">
        <v>73</v>
      </c>
      <c r="B280" s="53" t="s">
        <v>197</v>
      </c>
      <c r="C280" s="61" t="s">
        <v>100</v>
      </c>
      <c r="D280" s="17" t="s">
        <v>2</v>
      </c>
      <c r="E280" s="21"/>
      <c r="F280" s="20"/>
      <c r="G280" s="21" t="s">
        <v>147</v>
      </c>
      <c r="H280" s="13">
        <f t="shared" si="88"/>
        <v>528.525</v>
      </c>
      <c r="I280" s="23">
        <f aca="true" t="shared" si="91" ref="I280:N280">SUM(I281:I285)</f>
        <v>0</v>
      </c>
      <c r="J280" s="23">
        <f t="shared" si="91"/>
        <v>55.4</v>
      </c>
      <c r="K280" s="23">
        <f t="shared" si="91"/>
        <v>110.7</v>
      </c>
      <c r="L280" s="23">
        <f t="shared" si="91"/>
        <v>58.6</v>
      </c>
      <c r="M280" s="13">
        <f>SUM(M281:M285)</f>
        <v>90.425</v>
      </c>
      <c r="N280" s="13">
        <f t="shared" si="91"/>
        <v>0</v>
      </c>
      <c r="O280" s="13">
        <f>SUM(O281:O285)</f>
        <v>0</v>
      </c>
      <c r="P280" s="13">
        <f>SUM(P281:P285)</f>
        <v>0</v>
      </c>
      <c r="Q280" s="13">
        <f>SUM(Q281:Q285)</f>
        <v>68.4</v>
      </c>
      <c r="R280" s="13">
        <f>SUM(R281:R285)</f>
        <v>71.1</v>
      </c>
      <c r="S280" s="13">
        <f>SUM(S281:S285)</f>
        <v>73.9</v>
      </c>
    </row>
    <row r="281" spans="1:19" ht="27" customHeight="1">
      <c r="A281" s="53"/>
      <c r="B281" s="53"/>
      <c r="C281" s="61"/>
      <c r="D281" s="34" t="s">
        <v>11</v>
      </c>
      <c r="E281" s="20"/>
      <c r="F281" s="20"/>
      <c r="G281" s="20"/>
      <c r="H281" s="13">
        <f t="shared" si="88"/>
        <v>0</v>
      </c>
      <c r="I281" s="26"/>
      <c r="J281" s="26"/>
      <c r="K281" s="26"/>
      <c r="L281" s="26"/>
      <c r="M281" s="15"/>
      <c r="N281" s="15"/>
      <c r="O281" s="15"/>
      <c r="P281" s="15"/>
      <c r="Q281" s="15"/>
      <c r="R281" s="15"/>
      <c r="S281" s="15"/>
    </row>
    <row r="282" spans="1:19" ht="27" customHeight="1">
      <c r="A282" s="53"/>
      <c r="B282" s="53"/>
      <c r="C282" s="61"/>
      <c r="D282" s="34" t="s">
        <v>20</v>
      </c>
      <c r="E282" s="21" t="s">
        <v>104</v>
      </c>
      <c r="F282" s="21" t="s">
        <v>124</v>
      </c>
      <c r="G282" s="21" t="s">
        <v>147</v>
      </c>
      <c r="H282" s="13">
        <f t="shared" si="88"/>
        <v>528.525</v>
      </c>
      <c r="I282" s="26">
        <v>0</v>
      </c>
      <c r="J282" s="26">
        <v>55.4</v>
      </c>
      <c r="K282" s="26">
        <v>110.7</v>
      </c>
      <c r="L282" s="26">
        <v>58.6</v>
      </c>
      <c r="M282" s="13">
        <v>90.425</v>
      </c>
      <c r="N282" s="15">
        <v>0</v>
      </c>
      <c r="O282" s="15">
        <v>0</v>
      </c>
      <c r="P282" s="15">
        <v>0</v>
      </c>
      <c r="Q282" s="13">
        <v>68.4</v>
      </c>
      <c r="R282" s="13">
        <v>71.1</v>
      </c>
      <c r="S282" s="13">
        <v>73.9</v>
      </c>
    </row>
    <row r="283" spans="1:19" ht="27" customHeight="1">
      <c r="A283" s="53"/>
      <c r="B283" s="53"/>
      <c r="C283" s="61"/>
      <c r="D283" s="34" t="s">
        <v>12</v>
      </c>
      <c r="E283" s="20"/>
      <c r="F283" s="20"/>
      <c r="G283" s="20"/>
      <c r="H283" s="13">
        <f t="shared" si="88"/>
        <v>0</v>
      </c>
      <c r="I283" s="26"/>
      <c r="J283" s="26"/>
      <c r="K283" s="26"/>
      <c r="L283" s="26"/>
      <c r="M283" s="15"/>
      <c r="N283" s="15"/>
      <c r="O283" s="15"/>
      <c r="P283" s="15"/>
      <c r="Q283" s="15"/>
      <c r="R283" s="15"/>
      <c r="S283" s="15"/>
    </row>
    <row r="284" spans="1:19" ht="38.25" customHeight="1">
      <c r="A284" s="53"/>
      <c r="B284" s="53"/>
      <c r="C284" s="61"/>
      <c r="D284" s="34" t="s">
        <v>14</v>
      </c>
      <c r="E284" s="20"/>
      <c r="F284" s="20"/>
      <c r="G284" s="20"/>
      <c r="H284" s="13">
        <f t="shared" si="88"/>
        <v>0</v>
      </c>
      <c r="I284" s="26"/>
      <c r="J284" s="26"/>
      <c r="K284" s="26"/>
      <c r="L284" s="26"/>
      <c r="M284" s="15"/>
      <c r="N284" s="15"/>
      <c r="O284" s="15"/>
      <c r="P284" s="15"/>
      <c r="Q284" s="15"/>
      <c r="R284" s="15"/>
      <c r="S284" s="15"/>
    </row>
    <row r="285" spans="1:19" ht="62.25" customHeight="1">
      <c r="A285" s="53"/>
      <c r="B285" s="53"/>
      <c r="C285" s="61"/>
      <c r="D285" s="34" t="s">
        <v>13</v>
      </c>
      <c r="E285" s="20"/>
      <c r="F285" s="20"/>
      <c r="G285" s="20"/>
      <c r="H285" s="13">
        <f t="shared" si="88"/>
        <v>0</v>
      </c>
      <c r="I285" s="26"/>
      <c r="J285" s="26"/>
      <c r="K285" s="26"/>
      <c r="L285" s="26"/>
      <c r="M285" s="15"/>
      <c r="N285" s="15"/>
      <c r="O285" s="15"/>
      <c r="P285" s="15"/>
      <c r="Q285" s="15"/>
      <c r="R285" s="15"/>
      <c r="S285" s="15"/>
    </row>
    <row r="286" spans="1:19" ht="14.25" customHeight="1">
      <c r="A286" s="53" t="s">
        <v>82</v>
      </c>
      <c r="B286" s="53" t="s">
        <v>185</v>
      </c>
      <c r="C286" s="61" t="s">
        <v>100</v>
      </c>
      <c r="D286" s="17" t="s">
        <v>2</v>
      </c>
      <c r="E286" s="21"/>
      <c r="F286" s="20"/>
      <c r="G286" s="21" t="s">
        <v>148</v>
      </c>
      <c r="H286" s="13">
        <f t="shared" si="88"/>
        <v>4237.2</v>
      </c>
      <c r="I286" s="23">
        <f aca="true" t="shared" si="92" ref="I286:N286">SUM(I287:I291)</f>
        <v>0</v>
      </c>
      <c r="J286" s="23">
        <f t="shared" si="92"/>
        <v>0</v>
      </c>
      <c r="K286" s="23">
        <f t="shared" si="92"/>
        <v>398.5</v>
      </c>
      <c r="L286" s="23">
        <f t="shared" si="92"/>
        <v>538.1</v>
      </c>
      <c r="M286" s="13">
        <f>SUM(M287:M291)</f>
        <v>434.9</v>
      </c>
      <c r="N286" s="13">
        <f t="shared" si="92"/>
        <v>451.3</v>
      </c>
      <c r="O286" s="13">
        <f>SUM(O287:O291)</f>
        <v>473</v>
      </c>
      <c r="P286" s="13">
        <f>SUM(P287:P291)</f>
        <v>473</v>
      </c>
      <c r="Q286" s="13">
        <f>SUM(Q287:Q291)</f>
        <v>470.4</v>
      </c>
      <c r="R286" s="13">
        <f>SUM(R287:R291)</f>
        <v>489.2</v>
      </c>
      <c r="S286" s="13">
        <f>SUM(S287:S291)</f>
        <v>508.8</v>
      </c>
    </row>
    <row r="287" spans="1:19" ht="27" customHeight="1">
      <c r="A287" s="53"/>
      <c r="B287" s="53"/>
      <c r="C287" s="61"/>
      <c r="D287" s="34" t="s">
        <v>11</v>
      </c>
      <c r="E287" s="20"/>
      <c r="F287" s="20"/>
      <c r="G287" s="20"/>
      <c r="H287" s="13">
        <f t="shared" si="88"/>
        <v>0</v>
      </c>
      <c r="I287" s="26"/>
      <c r="J287" s="26"/>
      <c r="K287" s="26"/>
      <c r="L287" s="26"/>
      <c r="M287" s="15"/>
      <c r="N287" s="15"/>
      <c r="O287" s="15"/>
      <c r="P287" s="15"/>
      <c r="Q287" s="15"/>
      <c r="R287" s="15"/>
      <c r="S287" s="15"/>
    </row>
    <row r="288" spans="1:19" ht="27" customHeight="1">
      <c r="A288" s="53"/>
      <c r="B288" s="53"/>
      <c r="C288" s="61"/>
      <c r="D288" s="34" t="s">
        <v>20</v>
      </c>
      <c r="E288" s="21" t="s">
        <v>104</v>
      </c>
      <c r="F288" s="21" t="s">
        <v>124</v>
      </c>
      <c r="G288" s="21" t="s">
        <v>148</v>
      </c>
      <c r="H288" s="13">
        <f t="shared" si="88"/>
        <v>0</v>
      </c>
      <c r="I288" s="26"/>
      <c r="J288" s="26"/>
      <c r="K288" s="26"/>
      <c r="L288" s="26"/>
      <c r="M288" s="15"/>
      <c r="N288" s="15"/>
      <c r="O288" s="15"/>
      <c r="P288" s="15"/>
      <c r="Q288" s="15"/>
      <c r="R288" s="15"/>
      <c r="S288" s="15"/>
    </row>
    <row r="289" spans="1:19" ht="27" customHeight="1">
      <c r="A289" s="53"/>
      <c r="B289" s="53"/>
      <c r="C289" s="61"/>
      <c r="D289" s="34" t="s">
        <v>12</v>
      </c>
      <c r="E289" s="20"/>
      <c r="F289" s="20"/>
      <c r="G289" s="20"/>
      <c r="H289" s="13">
        <f t="shared" si="88"/>
        <v>4237.2</v>
      </c>
      <c r="I289" s="26"/>
      <c r="J289" s="26"/>
      <c r="K289" s="26">
        <v>398.5</v>
      </c>
      <c r="L289" s="26">
        <v>538.1</v>
      </c>
      <c r="M289" s="13">
        <v>434.9</v>
      </c>
      <c r="N289" s="15">
        <v>451.3</v>
      </c>
      <c r="O289" s="15">
        <v>473</v>
      </c>
      <c r="P289" s="13">
        <v>473</v>
      </c>
      <c r="Q289" s="13">
        <v>470.4</v>
      </c>
      <c r="R289" s="13">
        <v>489.2</v>
      </c>
      <c r="S289" s="13">
        <v>508.8</v>
      </c>
    </row>
    <row r="290" spans="1:19" ht="27" customHeight="1">
      <c r="A290" s="53"/>
      <c r="B290" s="53"/>
      <c r="C290" s="61"/>
      <c r="D290" s="34" t="s">
        <v>14</v>
      </c>
      <c r="E290" s="20"/>
      <c r="F290" s="20"/>
      <c r="G290" s="20"/>
      <c r="H290" s="13">
        <f t="shared" si="88"/>
        <v>0</v>
      </c>
      <c r="I290" s="26"/>
      <c r="J290" s="26"/>
      <c r="K290" s="26"/>
      <c r="L290" s="26"/>
      <c r="M290" s="15"/>
      <c r="N290" s="15"/>
      <c r="O290" s="15"/>
      <c r="P290" s="15"/>
      <c r="Q290" s="15"/>
      <c r="R290" s="15"/>
      <c r="S290" s="15"/>
    </row>
    <row r="291" spans="1:19" ht="28.5" customHeight="1">
      <c r="A291" s="53"/>
      <c r="B291" s="53"/>
      <c r="C291" s="61"/>
      <c r="D291" s="34" t="s">
        <v>13</v>
      </c>
      <c r="E291" s="20"/>
      <c r="F291" s="20"/>
      <c r="G291" s="20"/>
      <c r="H291" s="13">
        <f t="shared" si="88"/>
        <v>0</v>
      </c>
      <c r="I291" s="26"/>
      <c r="J291" s="26"/>
      <c r="K291" s="26"/>
      <c r="L291" s="26"/>
      <c r="M291" s="15"/>
      <c r="N291" s="15"/>
      <c r="O291" s="15"/>
      <c r="P291" s="15"/>
      <c r="Q291" s="15"/>
      <c r="R291" s="15"/>
      <c r="S291" s="15"/>
    </row>
    <row r="292" spans="1:19" ht="14.25" customHeight="1">
      <c r="A292" s="9">
        <v>1</v>
      </c>
      <c r="B292" s="9">
        <v>2</v>
      </c>
      <c r="C292" s="9">
        <f aca="true" t="shared" si="93" ref="C292:S292">B292+1</f>
        <v>3</v>
      </c>
      <c r="D292" s="34">
        <f t="shared" si="93"/>
        <v>4</v>
      </c>
      <c r="E292" s="9">
        <f t="shared" si="93"/>
        <v>5</v>
      </c>
      <c r="F292" s="9">
        <f t="shared" si="93"/>
        <v>6</v>
      </c>
      <c r="G292" s="9">
        <f t="shared" si="93"/>
        <v>7</v>
      </c>
      <c r="H292" s="24">
        <f t="shared" si="93"/>
        <v>8</v>
      </c>
      <c r="I292" s="24">
        <f t="shared" si="93"/>
        <v>9</v>
      </c>
      <c r="J292" s="24">
        <f t="shared" si="93"/>
        <v>10</v>
      </c>
      <c r="K292" s="24">
        <f t="shared" si="93"/>
        <v>11</v>
      </c>
      <c r="L292" s="24">
        <f t="shared" si="93"/>
        <v>12</v>
      </c>
      <c r="M292" s="24">
        <f t="shared" si="93"/>
        <v>13</v>
      </c>
      <c r="N292" s="24">
        <f t="shared" si="93"/>
        <v>14</v>
      </c>
      <c r="O292" s="24">
        <f t="shared" si="93"/>
        <v>15</v>
      </c>
      <c r="P292" s="24">
        <f t="shared" si="93"/>
        <v>16</v>
      </c>
      <c r="Q292" s="24">
        <f t="shared" si="93"/>
        <v>17</v>
      </c>
      <c r="R292" s="24">
        <f t="shared" si="93"/>
        <v>18</v>
      </c>
      <c r="S292" s="24">
        <f t="shared" si="93"/>
        <v>19</v>
      </c>
    </row>
    <row r="293" spans="1:19" ht="14.25" customHeight="1">
      <c r="A293" s="53" t="s">
        <v>84</v>
      </c>
      <c r="B293" s="53" t="s">
        <v>96</v>
      </c>
      <c r="C293" s="61" t="s">
        <v>100</v>
      </c>
      <c r="D293" s="17" t="s">
        <v>2</v>
      </c>
      <c r="E293" s="21"/>
      <c r="F293" s="20"/>
      <c r="G293" s="21" t="s">
        <v>149</v>
      </c>
      <c r="H293" s="13">
        <f t="shared" si="88"/>
        <v>6317.237999999999</v>
      </c>
      <c r="I293" s="23">
        <f aca="true" t="shared" si="94" ref="I293:N293">SUM(I294:I298)</f>
        <v>0</v>
      </c>
      <c r="J293" s="23">
        <f t="shared" si="94"/>
        <v>0</v>
      </c>
      <c r="K293" s="23">
        <f t="shared" si="94"/>
        <v>0</v>
      </c>
      <c r="L293" s="23">
        <f t="shared" si="94"/>
        <v>745.1</v>
      </c>
      <c r="M293" s="13">
        <f>SUM(M294:M298)</f>
        <v>984.204</v>
      </c>
      <c r="N293" s="13">
        <f t="shared" si="94"/>
        <v>1074.744</v>
      </c>
      <c r="O293" s="13">
        <f>SUM(O294:O298)</f>
        <v>1074.745</v>
      </c>
      <c r="P293" s="13">
        <f>SUM(P294:P298)</f>
        <v>1074.745</v>
      </c>
      <c r="Q293" s="13">
        <f>SUM(Q294:Q298)</f>
        <v>436.9</v>
      </c>
      <c r="R293" s="13">
        <f>SUM(R294:R298)</f>
        <v>454.3</v>
      </c>
      <c r="S293" s="13">
        <f>SUM(S294:S298)</f>
        <v>472.5</v>
      </c>
    </row>
    <row r="294" spans="1:19" ht="27" customHeight="1">
      <c r="A294" s="53"/>
      <c r="B294" s="53"/>
      <c r="C294" s="61"/>
      <c r="D294" s="34" t="s">
        <v>11</v>
      </c>
      <c r="E294" s="20"/>
      <c r="F294" s="20"/>
      <c r="G294" s="20"/>
      <c r="H294" s="13">
        <f t="shared" si="88"/>
        <v>0</v>
      </c>
      <c r="I294" s="26"/>
      <c r="J294" s="26"/>
      <c r="K294" s="26"/>
      <c r="L294" s="26"/>
      <c r="M294" s="15"/>
      <c r="N294" s="15"/>
      <c r="O294" s="15"/>
      <c r="P294" s="15"/>
      <c r="Q294" s="15"/>
      <c r="R294" s="15"/>
      <c r="S294" s="15"/>
    </row>
    <row r="295" spans="1:19" ht="27" customHeight="1">
      <c r="A295" s="53"/>
      <c r="B295" s="53"/>
      <c r="C295" s="61"/>
      <c r="D295" s="34" t="s">
        <v>20</v>
      </c>
      <c r="E295" s="21" t="s">
        <v>104</v>
      </c>
      <c r="F295" s="21" t="s">
        <v>127</v>
      </c>
      <c r="G295" s="21" t="s">
        <v>149</v>
      </c>
      <c r="H295" s="13">
        <f t="shared" si="88"/>
        <v>5473.29</v>
      </c>
      <c r="I295" s="26"/>
      <c r="J295" s="26"/>
      <c r="K295" s="26"/>
      <c r="L295" s="26">
        <v>629.7</v>
      </c>
      <c r="M295" s="13">
        <v>885.784</v>
      </c>
      <c r="N295" s="15">
        <v>1042.502</v>
      </c>
      <c r="O295" s="15">
        <f>1042.5+0.002</f>
        <v>1042.502</v>
      </c>
      <c r="P295" s="15">
        <f>1042.5+0.002</f>
        <v>1042.502</v>
      </c>
      <c r="Q295" s="13">
        <v>266</v>
      </c>
      <c r="R295" s="13">
        <v>276.6</v>
      </c>
      <c r="S295" s="13">
        <v>287.7</v>
      </c>
    </row>
    <row r="296" spans="1:19" ht="27" customHeight="1">
      <c r="A296" s="53"/>
      <c r="B296" s="53"/>
      <c r="C296" s="61"/>
      <c r="D296" s="34" t="s">
        <v>12</v>
      </c>
      <c r="E296" s="21" t="s">
        <v>104</v>
      </c>
      <c r="F296" s="21" t="s">
        <v>127</v>
      </c>
      <c r="G296" s="21" t="s">
        <v>149</v>
      </c>
      <c r="H296" s="13">
        <f t="shared" si="88"/>
        <v>843.9479999999999</v>
      </c>
      <c r="I296" s="26"/>
      <c r="J296" s="26"/>
      <c r="K296" s="26">
        <v>0</v>
      </c>
      <c r="L296" s="26">
        <v>115.4</v>
      </c>
      <c r="M296" s="13">
        <v>98.42</v>
      </c>
      <c r="N296" s="15">
        <v>32.242</v>
      </c>
      <c r="O296" s="15">
        <f>115.833-83.59</f>
        <v>32.242999999999995</v>
      </c>
      <c r="P296" s="15">
        <f>115.833-83.59</f>
        <v>32.242999999999995</v>
      </c>
      <c r="Q296" s="13">
        <v>170.9</v>
      </c>
      <c r="R296" s="13">
        <v>177.7</v>
      </c>
      <c r="S296" s="13">
        <v>184.8</v>
      </c>
    </row>
    <row r="297" spans="1:19" ht="27" customHeight="1">
      <c r="A297" s="53"/>
      <c r="B297" s="53"/>
      <c r="C297" s="61"/>
      <c r="D297" s="34" t="s">
        <v>14</v>
      </c>
      <c r="E297" s="20"/>
      <c r="F297" s="20"/>
      <c r="G297" s="20"/>
      <c r="H297" s="13">
        <f t="shared" si="88"/>
        <v>0</v>
      </c>
      <c r="I297" s="26"/>
      <c r="J297" s="26"/>
      <c r="K297" s="26"/>
      <c r="L297" s="26"/>
      <c r="M297" s="15"/>
      <c r="N297" s="15"/>
      <c r="O297" s="15"/>
      <c r="P297" s="15"/>
      <c r="Q297" s="15"/>
      <c r="R297" s="15"/>
      <c r="S297" s="15"/>
    </row>
    <row r="298" spans="1:19" ht="28.5" customHeight="1">
      <c r="A298" s="53"/>
      <c r="B298" s="53"/>
      <c r="C298" s="61"/>
      <c r="D298" s="34" t="s">
        <v>13</v>
      </c>
      <c r="E298" s="20"/>
      <c r="F298" s="20"/>
      <c r="G298" s="20"/>
      <c r="H298" s="13">
        <f t="shared" si="88"/>
        <v>0</v>
      </c>
      <c r="I298" s="26"/>
      <c r="J298" s="26"/>
      <c r="K298" s="26"/>
      <c r="L298" s="26"/>
      <c r="M298" s="15"/>
      <c r="N298" s="15"/>
      <c r="O298" s="15"/>
      <c r="P298" s="15"/>
      <c r="Q298" s="15"/>
      <c r="R298" s="15"/>
      <c r="S298" s="15"/>
    </row>
    <row r="299" spans="1:19" ht="27" customHeight="1">
      <c r="A299" s="53" t="s">
        <v>92</v>
      </c>
      <c r="B299" s="53" t="s">
        <v>91</v>
      </c>
      <c r="C299" s="61" t="s">
        <v>100</v>
      </c>
      <c r="D299" s="17" t="s">
        <v>2</v>
      </c>
      <c r="E299" s="21"/>
      <c r="F299" s="20"/>
      <c r="G299" s="21" t="s">
        <v>150</v>
      </c>
      <c r="H299" s="13">
        <f t="shared" si="88"/>
        <v>0</v>
      </c>
      <c r="I299" s="23">
        <f aca="true" t="shared" si="95" ref="I299:N299">SUM(I300:I304)</f>
        <v>0</v>
      </c>
      <c r="J299" s="23">
        <f t="shared" si="95"/>
        <v>0</v>
      </c>
      <c r="K299" s="23">
        <f t="shared" si="95"/>
        <v>0</v>
      </c>
      <c r="L299" s="23">
        <f t="shared" si="95"/>
        <v>0</v>
      </c>
      <c r="M299" s="13">
        <f>SUM(M300:M304)</f>
        <v>0</v>
      </c>
      <c r="N299" s="13">
        <f t="shared" si="95"/>
        <v>0</v>
      </c>
      <c r="O299" s="13">
        <f>SUM(O300:O304)</f>
        <v>0</v>
      </c>
      <c r="P299" s="13">
        <f>SUM(P300:P304)</f>
        <v>0</v>
      </c>
      <c r="Q299" s="13">
        <f>SUM(Q300:Q304)</f>
        <v>0</v>
      </c>
      <c r="R299" s="13">
        <f>SUM(R300:R304)</f>
        <v>0</v>
      </c>
      <c r="S299" s="13">
        <f>SUM(S300:S304)</f>
        <v>0</v>
      </c>
    </row>
    <row r="300" spans="1:19" ht="27" customHeight="1">
      <c r="A300" s="53"/>
      <c r="B300" s="53"/>
      <c r="C300" s="61"/>
      <c r="D300" s="34" t="s">
        <v>11</v>
      </c>
      <c r="E300" s="20"/>
      <c r="F300" s="20"/>
      <c r="G300" s="20"/>
      <c r="H300" s="13">
        <f t="shared" si="88"/>
        <v>0</v>
      </c>
      <c r="I300" s="26"/>
      <c r="J300" s="26"/>
      <c r="K300" s="26"/>
      <c r="L300" s="26"/>
      <c r="M300" s="15"/>
      <c r="N300" s="15"/>
      <c r="O300" s="15"/>
      <c r="P300" s="15"/>
      <c r="Q300" s="15"/>
      <c r="R300" s="15"/>
      <c r="S300" s="15"/>
    </row>
    <row r="301" spans="1:19" ht="27" customHeight="1">
      <c r="A301" s="53"/>
      <c r="B301" s="53"/>
      <c r="C301" s="61"/>
      <c r="D301" s="34" t="s">
        <v>20</v>
      </c>
      <c r="E301" s="21"/>
      <c r="F301" s="21"/>
      <c r="G301" s="21"/>
      <c r="H301" s="13">
        <f t="shared" si="88"/>
        <v>0</v>
      </c>
      <c r="I301" s="26"/>
      <c r="J301" s="26"/>
      <c r="K301" s="26"/>
      <c r="L301" s="26"/>
      <c r="M301" s="15"/>
      <c r="N301" s="15"/>
      <c r="O301" s="15"/>
      <c r="P301" s="15"/>
      <c r="Q301" s="15"/>
      <c r="R301" s="15"/>
      <c r="S301" s="15"/>
    </row>
    <row r="302" spans="1:19" ht="27" customHeight="1">
      <c r="A302" s="53"/>
      <c r="B302" s="53"/>
      <c r="C302" s="61"/>
      <c r="D302" s="34" t="s">
        <v>12</v>
      </c>
      <c r="E302" s="21" t="s">
        <v>104</v>
      </c>
      <c r="F302" s="21" t="s">
        <v>127</v>
      </c>
      <c r="G302" s="21" t="s">
        <v>150</v>
      </c>
      <c r="H302" s="13">
        <f t="shared" si="88"/>
        <v>0</v>
      </c>
      <c r="I302" s="26"/>
      <c r="J302" s="26"/>
      <c r="K302" s="26"/>
      <c r="L302" s="26">
        <v>0</v>
      </c>
      <c r="M302" s="13">
        <v>0</v>
      </c>
      <c r="N302" s="15">
        <v>0</v>
      </c>
      <c r="O302" s="15">
        <v>0</v>
      </c>
      <c r="P302" s="13">
        <v>0</v>
      </c>
      <c r="Q302" s="13">
        <v>0</v>
      </c>
      <c r="R302" s="13">
        <v>0</v>
      </c>
      <c r="S302" s="13">
        <v>0</v>
      </c>
    </row>
    <row r="303" spans="1:19" ht="27" customHeight="1">
      <c r="A303" s="53"/>
      <c r="B303" s="53"/>
      <c r="C303" s="61"/>
      <c r="D303" s="34" t="s">
        <v>14</v>
      </c>
      <c r="E303" s="20"/>
      <c r="F303" s="20"/>
      <c r="G303" s="20"/>
      <c r="H303" s="13">
        <f t="shared" si="88"/>
        <v>0</v>
      </c>
      <c r="I303" s="26"/>
      <c r="J303" s="26"/>
      <c r="K303" s="26"/>
      <c r="L303" s="26"/>
      <c r="M303" s="15"/>
      <c r="N303" s="15"/>
      <c r="O303" s="15"/>
      <c r="P303" s="15"/>
      <c r="Q303" s="15"/>
      <c r="R303" s="15"/>
      <c r="S303" s="15"/>
    </row>
    <row r="304" spans="1:19" ht="29.25" customHeight="1">
      <c r="A304" s="53"/>
      <c r="B304" s="53"/>
      <c r="C304" s="61"/>
      <c r="D304" s="34" t="s">
        <v>13</v>
      </c>
      <c r="E304" s="20"/>
      <c r="F304" s="20"/>
      <c r="G304" s="20"/>
      <c r="H304" s="13">
        <f t="shared" si="88"/>
        <v>0</v>
      </c>
      <c r="I304" s="26"/>
      <c r="J304" s="26"/>
      <c r="K304" s="26"/>
      <c r="L304" s="26"/>
      <c r="M304" s="15"/>
      <c r="N304" s="15"/>
      <c r="O304" s="15"/>
      <c r="P304" s="15"/>
      <c r="Q304" s="15"/>
      <c r="R304" s="15"/>
      <c r="S304" s="15"/>
    </row>
    <row r="305" spans="1:19" s="5" customFormat="1" ht="13.5" customHeight="1">
      <c r="A305" s="53" t="s">
        <v>64</v>
      </c>
      <c r="B305" s="53" t="s">
        <v>184</v>
      </c>
      <c r="C305" s="61" t="s">
        <v>100</v>
      </c>
      <c r="D305" s="17" t="s">
        <v>2</v>
      </c>
      <c r="E305" s="21"/>
      <c r="F305" s="25"/>
      <c r="G305" s="21" t="s">
        <v>117</v>
      </c>
      <c r="H305" s="13">
        <f t="shared" si="88"/>
        <v>223146.18899999998</v>
      </c>
      <c r="I305" s="23">
        <f>SUM(I306:I310)</f>
        <v>17477.199999999997</v>
      </c>
      <c r="J305" s="31">
        <f>J306+J307+J308</f>
        <v>17082.9</v>
      </c>
      <c r="K305" s="23">
        <f aca="true" t="shared" si="96" ref="K305:S305">SUM(K306:K310)</f>
        <v>17896.100000000002</v>
      </c>
      <c r="L305" s="23">
        <f t="shared" si="96"/>
        <v>19993.3</v>
      </c>
      <c r="M305" s="13">
        <f>SUM(M306:M310)</f>
        <v>21400.971</v>
      </c>
      <c r="N305" s="13">
        <f t="shared" si="96"/>
        <v>20992.897</v>
      </c>
      <c r="O305" s="13">
        <f>SUM(O306:O310)</f>
        <v>20674.358</v>
      </c>
      <c r="P305" s="13">
        <f>SUM(P306:P310)</f>
        <v>21189.463</v>
      </c>
      <c r="Q305" s="13">
        <f>SUM(Q306:Q310)</f>
        <v>21283.6</v>
      </c>
      <c r="R305" s="13">
        <f t="shared" si="96"/>
        <v>22135</v>
      </c>
      <c r="S305" s="13">
        <f t="shared" si="96"/>
        <v>23020.4</v>
      </c>
    </row>
    <row r="306" spans="1:19" s="5" customFormat="1" ht="27" customHeight="1">
      <c r="A306" s="53"/>
      <c r="B306" s="53"/>
      <c r="C306" s="61"/>
      <c r="D306" s="34" t="s">
        <v>11</v>
      </c>
      <c r="E306" s="20"/>
      <c r="F306" s="20"/>
      <c r="G306" s="20"/>
      <c r="H306" s="13">
        <f t="shared" si="88"/>
        <v>0</v>
      </c>
      <c r="I306" s="26">
        <f aca="true" t="shared" si="97" ref="I306:S306">I314+I319+I339</f>
        <v>0</v>
      </c>
      <c r="J306" s="26">
        <f t="shared" si="97"/>
        <v>0</v>
      </c>
      <c r="K306" s="26">
        <f t="shared" si="97"/>
        <v>0</v>
      </c>
      <c r="L306" s="26">
        <f t="shared" si="97"/>
        <v>0</v>
      </c>
      <c r="M306" s="15">
        <f t="shared" si="97"/>
        <v>0</v>
      </c>
      <c r="N306" s="15">
        <f t="shared" si="97"/>
        <v>0</v>
      </c>
      <c r="O306" s="15">
        <f t="shared" si="97"/>
        <v>0</v>
      </c>
      <c r="P306" s="15">
        <f t="shared" si="97"/>
        <v>0</v>
      </c>
      <c r="Q306" s="15">
        <f t="shared" si="97"/>
        <v>0</v>
      </c>
      <c r="R306" s="15">
        <f t="shared" si="97"/>
        <v>0</v>
      </c>
      <c r="S306" s="15">
        <f t="shared" si="97"/>
        <v>0</v>
      </c>
    </row>
    <row r="307" spans="1:19" s="5" customFormat="1" ht="27" customHeight="1">
      <c r="A307" s="53"/>
      <c r="B307" s="53"/>
      <c r="C307" s="61"/>
      <c r="D307" s="34" t="s">
        <v>20</v>
      </c>
      <c r="E307" s="21" t="s">
        <v>104</v>
      </c>
      <c r="F307" s="25"/>
      <c r="G307" s="21" t="s">
        <v>117</v>
      </c>
      <c r="H307" s="13">
        <f t="shared" si="88"/>
        <v>112735.524</v>
      </c>
      <c r="I307" s="26">
        <f aca="true" t="shared" si="98" ref="I307:S307">I320+I340+I332+I326</f>
        <v>2066.8</v>
      </c>
      <c r="J307" s="26">
        <f t="shared" si="98"/>
        <v>1048.4</v>
      </c>
      <c r="K307" s="26">
        <f t="shared" si="98"/>
        <v>1048.4</v>
      </c>
      <c r="L307" s="26">
        <f t="shared" si="98"/>
        <v>1085.8</v>
      </c>
      <c r="M307" s="15">
        <f t="shared" si="98"/>
        <v>14931.182</v>
      </c>
      <c r="N307" s="15">
        <f t="shared" si="98"/>
        <v>14847.278</v>
      </c>
      <c r="O307" s="15">
        <f t="shared" si="98"/>
        <v>15791.332</v>
      </c>
      <c r="P307" s="15">
        <f t="shared" si="98"/>
        <v>16624.332</v>
      </c>
      <c r="Q307" s="15">
        <f t="shared" si="98"/>
        <v>14509.2</v>
      </c>
      <c r="R307" s="15">
        <f t="shared" si="98"/>
        <v>15089.6</v>
      </c>
      <c r="S307" s="15">
        <f t="shared" si="98"/>
        <v>15693.199999999999</v>
      </c>
    </row>
    <row r="308" spans="1:19" ht="27" customHeight="1">
      <c r="A308" s="53"/>
      <c r="B308" s="53"/>
      <c r="C308" s="61"/>
      <c r="D308" s="34" t="s">
        <v>12</v>
      </c>
      <c r="E308" s="21" t="s">
        <v>104</v>
      </c>
      <c r="F308" s="25"/>
      <c r="G308" s="21" t="s">
        <v>117</v>
      </c>
      <c r="H308" s="13">
        <f t="shared" si="88"/>
        <v>110410.665</v>
      </c>
      <c r="I308" s="26">
        <f aca="true" t="shared" si="99" ref="I308:S308">I315+I321+I341+I327+I333</f>
        <v>15410.399999999998</v>
      </c>
      <c r="J308" s="26">
        <f t="shared" si="99"/>
        <v>16034.5</v>
      </c>
      <c r="K308" s="26">
        <f t="shared" si="99"/>
        <v>16847.7</v>
      </c>
      <c r="L308" s="26">
        <f t="shared" si="99"/>
        <v>18907.5</v>
      </c>
      <c r="M308" s="15">
        <f t="shared" si="99"/>
        <v>6469.789000000001</v>
      </c>
      <c r="N308" s="15">
        <f t="shared" si="99"/>
        <v>6145.619000000001</v>
      </c>
      <c r="O308" s="15">
        <f t="shared" si="99"/>
        <v>4883.026</v>
      </c>
      <c r="P308" s="15">
        <f t="shared" si="99"/>
        <v>4565.131000000001</v>
      </c>
      <c r="Q308" s="15">
        <f t="shared" si="99"/>
        <v>6774.4</v>
      </c>
      <c r="R308" s="15">
        <f t="shared" si="99"/>
        <v>7045.4</v>
      </c>
      <c r="S308" s="15">
        <f t="shared" si="99"/>
        <v>7327.200000000001</v>
      </c>
    </row>
    <row r="309" spans="1:19" ht="27" customHeight="1">
      <c r="A309" s="53"/>
      <c r="B309" s="53"/>
      <c r="C309" s="61"/>
      <c r="D309" s="34" t="s">
        <v>14</v>
      </c>
      <c r="E309" s="20"/>
      <c r="F309" s="20"/>
      <c r="G309" s="20"/>
      <c r="H309" s="13">
        <f t="shared" si="88"/>
        <v>0</v>
      </c>
      <c r="I309" s="26">
        <f aca="true" t="shared" si="100" ref="I309:S309">I316+I322+I342</f>
        <v>0</v>
      </c>
      <c r="J309" s="26">
        <f t="shared" si="100"/>
        <v>0</v>
      </c>
      <c r="K309" s="26">
        <f t="shared" si="100"/>
        <v>0</v>
      </c>
      <c r="L309" s="26">
        <f t="shared" si="100"/>
        <v>0</v>
      </c>
      <c r="M309" s="15">
        <f t="shared" si="100"/>
        <v>0</v>
      </c>
      <c r="N309" s="15">
        <f t="shared" si="100"/>
        <v>0</v>
      </c>
      <c r="O309" s="15">
        <f t="shared" si="100"/>
        <v>0</v>
      </c>
      <c r="P309" s="15">
        <f t="shared" si="100"/>
        <v>0</v>
      </c>
      <c r="Q309" s="15">
        <f t="shared" si="100"/>
        <v>0</v>
      </c>
      <c r="R309" s="15">
        <f t="shared" si="100"/>
        <v>0</v>
      </c>
      <c r="S309" s="15">
        <f t="shared" si="100"/>
        <v>0</v>
      </c>
    </row>
    <row r="310" spans="1:19" ht="27" customHeight="1">
      <c r="A310" s="53"/>
      <c r="B310" s="53"/>
      <c r="C310" s="61"/>
      <c r="D310" s="34" t="s">
        <v>13</v>
      </c>
      <c r="E310" s="20"/>
      <c r="F310" s="20"/>
      <c r="G310" s="20"/>
      <c r="H310" s="13">
        <f t="shared" si="88"/>
        <v>0</v>
      </c>
      <c r="I310" s="26">
        <f aca="true" t="shared" si="101" ref="I310:S310">I317+I323+I343</f>
        <v>0</v>
      </c>
      <c r="J310" s="26">
        <f t="shared" si="101"/>
        <v>0</v>
      </c>
      <c r="K310" s="26">
        <f t="shared" si="101"/>
        <v>0</v>
      </c>
      <c r="L310" s="26">
        <f t="shared" si="101"/>
        <v>0</v>
      </c>
      <c r="M310" s="15">
        <f t="shared" si="101"/>
        <v>0</v>
      </c>
      <c r="N310" s="15">
        <f t="shared" si="101"/>
        <v>0</v>
      </c>
      <c r="O310" s="15">
        <f t="shared" si="101"/>
        <v>0</v>
      </c>
      <c r="P310" s="15">
        <f t="shared" si="101"/>
        <v>0</v>
      </c>
      <c r="Q310" s="15">
        <f t="shared" si="101"/>
        <v>0</v>
      </c>
      <c r="R310" s="15">
        <f t="shared" si="101"/>
        <v>0</v>
      </c>
      <c r="S310" s="15">
        <f t="shared" si="101"/>
        <v>0</v>
      </c>
    </row>
    <row r="311" spans="1:19" ht="59.25" customHeight="1">
      <c r="A311" s="6" t="s">
        <v>65</v>
      </c>
      <c r="B311" s="7" t="s">
        <v>72</v>
      </c>
      <c r="C311" s="7"/>
      <c r="D311" s="17" t="s">
        <v>2</v>
      </c>
      <c r="E311" s="21"/>
      <c r="F311" s="25"/>
      <c r="G311" s="21" t="s">
        <v>118</v>
      </c>
      <c r="H311" s="13">
        <f t="shared" si="88"/>
        <v>51974.212</v>
      </c>
      <c r="I311" s="23">
        <f aca="true" t="shared" si="102" ref="I311:S311">I313+I318+I324+I330</f>
        <v>5134.799999999999</v>
      </c>
      <c r="J311" s="23">
        <f t="shared" si="102"/>
        <v>4039.5</v>
      </c>
      <c r="K311" s="23">
        <f t="shared" si="102"/>
        <v>4297.4</v>
      </c>
      <c r="L311" s="23">
        <f t="shared" si="102"/>
        <v>4097.3</v>
      </c>
      <c r="M311" s="13">
        <f t="shared" si="102"/>
        <v>4879.77</v>
      </c>
      <c r="N311" s="13">
        <f t="shared" si="102"/>
        <v>4861.378</v>
      </c>
      <c r="O311" s="13">
        <f t="shared" si="102"/>
        <v>4904.432</v>
      </c>
      <c r="P311" s="13">
        <f t="shared" si="102"/>
        <v>4904.432</v>
      </c>
      <c r="Q311" s="13">
        <f t="shared" si="102"/>
        <v>4758.8</v>
      </c>
      <c r="R311" s="13">
        <f t="shared" si="102"/>
        <v>4949.2</v>
      </c>
      <c r="S311" s="13">
        <f t="shared" si="102"/>
        <v>5147.2</v>
      </c>
    </row>
    <row r="312" spans="1:19" ht="15" customHeight="1">
      <c r="A312" s="9">
        <v>1</v>
      </c>
      <c r="B312" s="9">
        <v>2</v>
      </c>
      <c r="C312" s="9">
        <f aca="true" t="shared" si="103" ref="C312:S312">B312+1</f>
        <v>3</v>
      </c>
      <c r="D312" s="34">
        <f t="shared" si="103"/>
        <v>4</v>
      </c>
      <c r="E312" s="9">
        <f t="shared" si="103"/>
        <v>5</v>
      </c>
      <c r="F312" s="9">
        <f t="shared" si="103"/>
        <v>6</v>
      </c>
      <c r="G312" s="9">
        <f t="shared" si="103"/>
        <v>7</v>
      </c>
      <c r="H312" s="24">
        <f t="shared" si="103"/>
        <v>8</v>
      </c>
      <c r="I312" s="24">
        <f t="shared" si="103"/>
        <v>9</v>
      </c>
      <c r="J312" s="24">
        <f t="shared" si="103"/>
        <v>10</v>
      </c>
      <c r="K312" s="24">
        <f t="shared" si="103"/>
        <v>11</v>
      </c>
      <c r="L312" s="24">
        <f t="shared" si="103"/>
        <v>12</v>
      </c>
      <c r="M312" s="24">
        <f t="shared" si="103"/>
        <v>13</v>
      </c>
      <c r="N312" s="24">
        <f t="shared" si="103"/>
        <v>14</v>
      </c>
      <c r="O312" s="24">
        <f t="shared" si="103"/>
        <v>15</v>
      </c>
      <c r="P312" s="24">
        <f t="shared" si="103"/>
        <v>16</v>
      </c>
      <c r="Q312" s="24">
        <f t="shared" si="103"/>
        <v>17</v>
      </c>
      <c r="R312" s="24">
        <f t="shared" si="103"/>
        <v>18</v>
      </c>
      <c r="S312" s="24">
        <f t="shared" si="103"/>
        <v>19</v>
      </c>
    </row>
    <row r="313" spans="1:19" ht="15" customHeight="1">
      <c r="A313" s="53" t="s">
        <v>66</v>
      </c>
      <c r="B313" s="53" t="s">
        <v>169</v>
      </c>
      <c r="C313" s="61" t="s">
        <v>100</v>
      </c>
      <c r="D313" s="17" t="s">
        <v>2</v>
      </c>
      <c r="E313" s="21"/>
      <c r="F313" s="25"/>
      <c r="G313" s="21" t="s">
        <v>151</v>
      </c>
      <c r="H313" s="13">
        <f t="shared" si="88"/>
        <v>37453.687999999995</v>
      </c>
      <c r="I313" s="23">
        <f aca="true" t="shared" si="104" ref="I313:N313">SUM(I314:I317)</f>
        <v>2963.2</v>
      </c>
      <c r="J313" s="23">
        <f t="shared" si="104"/>
        <v>2991.1</v>
      </c>
      <c r="K313" s="23">
        <f t="shared" si="104"/>
        <v>3249</v>
      </c>
      <c r="L313" s="23">
        <f t="shared" si="104"/>
        <v>3011.5</v>
      </c>
      <c r="M313" s="13">
        <f t="shared" si="104"/>
        <v>3688.288</v>
      </c>
      <c r="N313" s="13">
        <f t="shared" si="104"/>
        <v>3625.1</v>
      </c>
      <c r="O313" s="13">
        <f>SUM(O314:O317)</f>
        <v>3625.1</v>
      </c>
      <c r="P313" s="13">
        <f>SUM(P314:P317)</f>
        <v>3625.1</v>
      </c>
      <c r="Q313" s="13">
        <f>SUM(Q314:Q317)</f>
        <v>3419.8</v>
      </c>
      <c r="R313" s="13">
        <f>SUM(R314:R317)</f>
        <v>3556.6</v>
      </c>
      <c r="S313" s="13">
        <f>SUM(S314:S317)</f>
        <v>3698.9</v>
      </c>
    </row>
    <row r="314" spans="1:19" ht="27" customHeight="1">
      <c r="A314" s="53"/>
      <c r="B314" s="53"/>
      <c r="C314" s="61"/>
      <c r="D314" s="34" t="s">
        <v>11</v>
      </c>
      <c r="E314" s="20"/>
      <c r="F314" s="20"/>
      <c r="G314" s="20"/>
      <c r="H314" s="13">
        <f t="shared" si="88"/>
        <v>0</v>
      </c>
      <c r="I314" s="26"/>
      <c r="J314" s="26"/>
      <c r="K314" s="26"/>
      <c r="L314" s="26"/>
      <c r="M314" s="15"/>
      <c r="N314" s="15"/>
      <c r="O314" s="15"/>
      <c r="P314" s="15"/>
      <c r="Q314" s="15"/>
      <c r="R314" s="15"/>
      <c r="S314" s="15"/>
    </row>
    <row r="315" spans="1:19" ht="27" customHeight="1">
      <c r="A315" s="53"/>
      <c r="B315" s="53"/>
      <c r="C315" s="61"/>
      <c r="D315" s="34" t="s">
        <v>12</v>
      </c>
      <c r="E315" s="21" t="s">
        <v>104</v>
      </c>
      <c r="F315" s="21" t="s">
        <v>120</v>
      </c>
      <c r="G315" s="21" t="s">
        <v>151</v>
      </c>
      <c r="H315" s="13">
        <f t="shared" si="88"/>
        <v>37453.687999999995</v>
      </c>
      <c r="I315" s="26">
        <v>2963.2</v>
      </c>
      <c r="J315" s="26">
        <v>2991.1</v>
      </c>
      <c r="K315" s="26">
        <v>3249</v>
      </c>
      <c r="L315" s="26">
        <v>3011.5</v>
      </c>
      <c r="M315" s="13">
        <f>3616.688+71.6</f>
        <v>3688.288</v>
      </c>
      <c r="N315" s="15">
        <v>3625.1</v>
      </c>
      <c r="O315" s="15">
        <v>3625.1</v>
      </c>
      <c r="P315" s="15">
        <v>3625.1</v>
      </c>
      <c r="Q315" s="13">
        <v>3419.8</v>
      </c>
      <c r="R315" s="13">
        <v>3556.6</v>
      </c>
      <c r="S315" s="13">
        <v>3698.9</v>
      </c>
    </row>
    <row r="316" spans="1:19" ht="24.75" customHeight="1">
      <c r="A316" s="53"/>
      <c r="B316" s="53"/>
      <c r="C316" s="61"/>
      <c r="D316" s="34" t="s">
        <v>14</v>
      </c>
      <c r="E316" s="20"/>
      <c r="F316" s="20"/>
      <c r="G316" s="20"/>
      <c r="H316" s="13">
        <f t="shared" si="88"/>
        <v>0</v>
      </c>
      <c r="I316" s="26"/>
      <c r="J316" s="26"/>
      <c r="K316" s="26"/>
      <c r="L316" s="26"/>
      <c r="M316" s="15"/>
      <c r="N316" s="15"/>
      <c r="O316" s="15"/>
      <c r="P316" s="13"/>
      <c r="Q316" s="13"/>
      <c r="R316" s="13"/>
      <c r="S316" s="13"/>
    </row>
    <row r="317" spans="1:19" ht="24.75" customHeight="1">
      <c r="A317" s="53"/>
      <c r="B317" s="53"/>
      <c r="C317" s="61"/>
      <c r="D317" s="34" t="s">
        <v>13</v>
      </c>
      <c r="E317" s="20"/>
      <c r="F317" s="20"/>
      <c r="G317" s="20"/>
      <c r="H317" s="13">
        <f t="shared" si="88"/>
        <v>0</v>
      </c>
      <c r="I317" s="26"/>
      <c r="J317" s="26"/>
      <c r="K317" s="26"/>
      <c r="L317" s="26"/>
      <c r="M317" s="15"/>
      <c r="N317" s="15"/>
      <c r="O317" s="15"/>
      <c r="P317" s="15"/>
      <c r="Q317" s="15"/>
      <c r="R317" s="15"/>
      <c r="S317" s="15"/>
    </row>
    <row r="318" spans="1:19" ht="14.25" customHeight="1">
      <c r="A318" s="53" t="s">
        <v>67</v>
      </c>
      <c r="B318" s="53" t="s">
        <v>196</v>
      </c>
      <c r="C318" s="61" t="s">
        <v>100</v>
      </c>
      <c r="D318" s="17" t="s">
        <v>2</v>
      </c>
      <c r="E318" s="21"/>
      <c r="F318" s="25"/>
      <c r="G318" s="21" t="s">
        <v>153</v>
      </c>
      <c r="H318" s="13">
        <f t="shared" si="88"/>
        <v>13397.324</v>
      </c>
      <c r="I318" s="23">
        <f aca="true" t="shared" si="105" ref="I318:N318">SUM(I319:I323)</f>
        <v>1048.4</v>
      </c>
      <c r="J318" s="23">
        <f t="shared" si="105"/>
        <v>1048.4</v>
      </c>
      <c r="K318" s="23">
        <f t="shared" si="105"/>
        <v>1048.4</v>
      </c>
      <c r="L318" s="23">
        <f t="shared" si="105"/>
        <v>1085.8</v>
      </c>
      <c r="M318" s="13">
        <f>SUM(M319:M323)</f>
        <v>1191.482</v>
      </c>
      <c r="N318" s="13">
        <f t="shared" si="105"/>
        <v>1236.278</v>
      </c>
      <c r="O318" s="13">
        <f>SUM(O319:O323)</f>
        <v>1279.3319999999999</v>
      </c>
      <c r="P318" s="13">
        <f>SUM(P320:P324)</f>
        <v>1279.3319999999999</v>
      </c>
      <c r="Q318" s="13">
        <f>SUM(Q320:Q324)</f>
        <v>1339</v>
      </c>
      <c r="R318" s="13">
        <f>SUM(R320:R324)</f>
        <v>1392.6</v>
      </c>
      <c r="S318" s="13">
        <f>SUM(S320:S324)</f>
        <v>1448.3</v>
      </c>
    </row>
    <row r="319" spans="1:19" ht="27" customHeight="1">
      <c r="A319" s="53"/>
      <c r="B319" s="53"/>
      <c r="C319" s="61"/>
      <c r="D319" s="34" t="s">
        <v>11</v>
      </c>
      <c r="E319" s="20"/>
      <c r="F319" s="20"/>
      <c r="G319" s="20"/>
      <c r="H319" s="13">
        <f t="shared" si="88"/>
        <v>0</v>
      </c>
      <c r="I319" s="26"/>
      <c r="J319" s="26"/>
      <c r="K319" s="26"/>
      <c r="L319" s="26"/>
      <c r="M319" s="15"/>
      <c r="N319" s="15"/>
      <c r="O319" s="15"/>
      <c r="P319" s="32"/>
      <c r="Q319" s="32"/>
      <c r="R319" s="32"/>
      <c r="S319" s="32"/>
    </row>
    <row r="320" spans="1:19" ht="27" customHeight="1">
      <c r="A320" s="53"/>
      <c r="B320" s="53"/>
      <c r="C320" s="61"/>
      <c r="D320" s="34" t="s">
        <v>20</v>
      </c>
      <c r="E320" s="21" t="s">
        <v>104</v>
      </c>
      <c r="F320" s="21" t="s">
        <v>152</v>
      </c>
      <c r="G320" s="21" t="s">
        <v>153</v>
      </c>
      <c r="H320" s="13">
        <f t="shared" si="88"/>
        <v>13397.324</v>
      </c>
      <c r="I320" s="26">
        <v>1048.4</v>
      </c>
      <c r="J320" s="26">
        <v>1048.4</v>
      </c>
      <c r="K320" s="26">
        <v>1048.4</v>
      </c>
      <c r="L320" s="26">
        <v>1085.8</v>
      </c>
      <c r="M320" s="13">
        <v>1191.482</v>
      </c>
      <c r="N320" s="15">
        <v>1236.278</v>
      </c>
      <c r="O320" s="15">
        <f>1243.2-6.9+43+0.032</f>
        <v>1279.3319999999999</v>
      </c>
      <c r="P320" s="15">
        <f>1243.2-6.9+43+0.032</f>
        <v>1279.3319999999999</v>
      </c>
      <c r="Q320" s="13">
        <v>1339</v>
      </c>
      <c r="R320" s="13">
        <v>1392.6</v>
      </c>
      <c r="S320" s="13">
        <v>1448.3</v>
      </c>
    </row>
    <row r="321" spans="1:19" ht="27" customHeight="1">
      <c r="A321" s="53"/>
      <c r="B321" s="53"/>
      <c r="C321" s="61"/>
      <c r="D321" s="34" t="s">
        <v>12</v>
      </c>
      <c r="E321" s="20"/>
      <c r="F321" s="20"/>
      <c r="G321" s="20"/>
      <c r="H321" s="13">
        <f t="shared" si="88"/>
        <v>0</v>
      </c>
      <c r="I321" s="26"/>
      <c r="J321" s="26"/>
      <c r="K321" s="26"/>
      <c r="L321" s="26"/>
      <c r="M321" s="15"/>
      <c r="N321" s="15"/>
      <c r="O321" s="15"/>
      <c r="P321" s="32"/>
      <c r="Q321" s="32"/>
      <c r="R321" s="32"/>
      <c r="S321" s="32"/>
    </row>
    <row r="322" spans="1:19" ht="25.5" customHeight="1">
      <c r="A322" s="53"/>
      <c r="B322" s="53"/>
      <c r="C322" s="61"/>
      <c r="D322" s="34" t="s">
        <v>14</v>
      </c>
      <c r="E322" s="20"/>
      <c r="F322" s="20"/>
      <c r="G322" s="20"/>
      <c r="H322" s="13">
        <f t="shared" si="88"/>
        <v>0</v>
      </c>
      <c r="I322" s="26"/>
      <c r="J322" s="26"/>
      <c r="K322" s="26"/>
      <c r="L322" s="26"/>
      <c r="M322" s="15"/>
      <c r="N322" s="15"/>
      <c r="O322" s="15"/>
      <c r="P322" s="15"/>
      <c r="Q322" s="15"/>
      <c r="R322" s="15"/>
      <c r="S322" s="15"/>
    </row>
    <row r="323" spans="1:19" ht="25.5" customHeight="1">
      <c r="A323" s="53"/>
      <c r="B323" s="53"/>
      <c r="C323" s="61"/>
      <c r="D323" s="34" t="s">
        <v>13</v>
      </c>
      <c r="E323" s="20"/>
      <c r="F323" s="20"/>
      <c r="G323" s="20"/>
      <c r="H323" s="13">
        <f t="shared" si="88"/>
        <v>0</v>
      </c>
      <c r="I323" s="26"/>
      <c r="J323" s="26"/>
      <c r="K323" s="26"/>
      <c r="L323" s="26"/>
      <c r="M323" s="15"/>
      <c r="N323" s="15"/>
      <c r="O323" s="15"/>
      <c r="P323" s="15"/>
      <c r="Q323" s="15"/>
      <c r="R323" s="15"/>
      <c r="S323" s="15"/>
    </row>
    <row r="324" spans="1:19" ht="13.5" customHeight="1">
      <c r="A324" s="53" t="s">
        <v>75</v>
      </c>
      <c r="B324" s="53" t="s">
        <v>76</v>
      </c>
      <c r="C324" s="61" t="s">
        <v>100</v>
      </c>
      <c r="D324" s="17" t="s">
        <v>2</v>
      </c>
      <c r="E324" s="21"/>
      <c r="F324" s="21"/>
      <c r="G324" s="21" t="s">
        <v>151</v>
      </c>
      <c r="H324" s="13">
        <f t="shared" si="88"/>
        <v>104.8</v>
      </c>
      <c r="I324" s="23">
        <f aca="true" t="shared" si="106" ref="I324:N324">SUM(I325:I329)</f>
        <v>104.8</v>
      </c>
      <c r="J324" s="23">
        <f t="shared" si="106"/>
        <v>0</v>
      </c>
      <c r="K324" s="23">
        <f t="shared" si="106"/>
        <v>0</v>
      </c>
      <c r="L324" s="23">
        <f t="shared" si="106"/>
        <v>0</v>
      </c>
      <c r="M324" s="13">
        <f>SUM(M325:M329)</f>
        <v>0</v>
      </c>
      <c r="N324" s="13">
        <f t="shared" si="106"/>
        <v>0</v>
      </c>
      <c r="O324" s="13">
        <f>SUM(O325:O329)</f>
        <v>0</v>
      </c>
      <c r="P324" s="13">
        <f>SUM(P326:P330)</f>
        <v>0</v>
      </c>
      <c r="Q324" s="13">
        <f>SUM(Q326:Q330)</f>
        <v>0</v>
      </c>
      <c r="R324" s="13">
        <f>SUM(R326:R330)</f>
        <v>0</v>
      </c>
      <c r="S324" s="13">
        <f>SUM(S326:S330)</f>
        <v>0</v>
      </c>
    </row>
    <row r="325" spans="1:19" ht="27" customHeight="1">
      <c r="A325" s="53"/>
      <c r="B325" s="53"/>
      <c r="C325" s="61"/>
      <c r="D325" s="34" t="s">
        <v>11</v>
      </c>
      <c r="E325" s="20"/>
      <c r="F325" s="20"/>
      <c r="G325" s="20"/>
      <c r="H325" s="13">
        <f t="shared" si="88"/>
        <v>0</v>
      </c>
      <c r="I325" s="26"/>
      <c r="J325" s="26"/>
      <c r="K325" s="26"/>
      <c r="L325" s="26"/>
      <c r="M325" s="15"/>
      <c r="N325" s="15"/>
      <c r="O325" s="15"/>
      <c r="P325" s="32"/>
      <c r="Q325" s="32"/>
      <c r="R325" s="32"/>
      <c r="S325" s="32"/>
    </row>
    <row r="326" spans="1:19" ht="27" customHeight="1">
      <c r="A326" s="53"/>
      <c r="B326" s="53"/>
      <c r="C326" s="61"/>
      <c r="D326" s="34" t="s">
        <v>20</v>
      </c>
      <c r="E326" s="20"/>
      <c r="F326" s="20"/>
      <c r="G326" s="20"/>
      <c r="H326" s="13">
        <f t="shared" si="88"/>
        <v>0</v>
      </c>
      <c r="I326" s="26"/>
      <c r="J326" s="26"/>
      <c r="K326" s="26"/>
      <c r="L326" s="26"/>
      <c r="M326" s="15"/>
      <c r="N326" s="15"/>
      <c r="O326" s="15"/>
      <c r="P326" s="15"/>
      <c r="Q326" s="15"/>
      <c r="R326" s="15"/>
      <c r="S326" s="15"/>
    </row>
    <row r="327" spans="1:19" ht="27" customHeight="1">
      <c r="A327" s="53"/>
      <c r="B327" s="53"/>
      <c r="C327" s="61"/>
      <c r="D327" s="34" t="s">
        <v>12</v>
      </c>
      <c r="E327" s="21" t="s">
        <v>104</v>
      </c>
      <c r="F327" s="21" t="s">
        <v>120</v>
      </c>
      <c r="G327" s="21" t="s">
        <v>151</v>
      </c>
      <c r="H327" s="13">
        <f t="shared" si="88"/>
        <v>104.8</v>
      </c>
      <c r="I327" s="26">
        <v>104.8</v>
      </c>
      <c r="J327" s="26">
        <v>0</v>
      </c>
      <c r="K327" s="26">
        <v>0</v>
      </c>
      <c r="L327" s="26">
        <v>0</v>
      </c>
      <c r="M327" s="13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</row>
    <row r="328" spans="1:19" ht="27" customHeight="1">
      <c r="A328" s="53"/>
      <c r="B328" s="53"/>
      <c r="C328" s="61"/>
      <c r="D328" s="34" t="s">
        <v>14</v>
      </c>
      <c r="E328" s="20"/>
      <c r="F328" s="20"/>
      <c r="G328" s="20"/>
      <c r="H328" s="13">
        <f t="shared" si="88"/>
        <v>0</v>
      </c>
      <c r="I328" s="26"/>
      <c r="J328" s="26"/>
      <c r="K328" s="26"/>
      <c r="L328" s="26"/>
      <c r="M328" s="15"/>
      <c r="N328" s="15"/>
      <c r="O328" s="15"/>
      <c r="P328" s="32"/>
      <c r="Q328" s="32"/>
      <c r="R328" s="32"/>
      <c r="S328" s="32"/>
    </row>
    <row r="329" spans="1:19" ht="27" customHeight="1">
      <c r="A329" s="53"/>
      <c r="B329" s="53"/>
      <c r="C329" s="61"/>
      <c r="D329" s="34" t="s">
        <v>13</v>
      </c>
      <c r="E329" s="20"/>
      <c r="F329" s="20"/>
      <c r="G329" s="20"/>
      <c r="H329" s="13">
        <f t="shared" si="88"/>
        <v>0</v>
      </c>
      <c r="I329" s="26"/>
      <c r="J329" s="26"/>
      <c r="K329" s="26"/>
      <c r="L329" s="26"/>
      <c r="M329" s="15"/>
      <c r="N329" s="15"/>
      <c r="O329" s="15"/>
      <c r="P329" s="15"/>
      <c r="Q329" s="15"/>
      <c r="R329" s="15"/>
      <c r="S329" s="15"/>
    </row>
    <row r="330" spans="1:19" ht="13.5" customHeight="1">
      <c r="A330" s="53" t="s">
        <v>77</v>
      </c>
      <c r="B330" s="53" t="s">
        <v>85</v>
      </c>
      <c r="C330" s="61" t="s">
        <v>100</v>
      </c>
      <c r="D330" s="17" t="s">
        <v>2</v>
      </c>
      <c r="E330" s="20"/>
      <c r="F330" s="20"/>
      <c r="G330" s="20"/>
      <c r="H330" s="13">
        <f t="shared" si="88"/>
        <v>1018.4</v>
      </c>
      <c r="I330" s="23">
        <f aca="true" t="shared" si="107" ref="I330:N330">SUM(I331:I335)</f>
        <v>1018.4</v>
      </c>
      <c r="J330" s="23">
        <f t="shared" si="107"/>
        <v>0</v>
      </c>
      <c r="K330" s="23">
        <f t="shared" si="107"/>
        <v>0</v>
      </c>
      <c r="L330" s="23">
        <f t="shared" si="107"/>
        <v>0</v>
      </c>
      <c r="M330" s="13">
        <f>SUM(M331:M335)</f>
        <v>0</v>
      </c>
      <c r="N330" s="13">
        <f t="shared" si="107"/>
        <v>0</v>
      </c>
      <c r="O330" s="13">
        <f>SUM(O331:O335)</f>
        <v>0</v>
      </c>
      <c r="P330" s="13">
        <v>0</v>
      </c>
      <c r="Q330" s="13">
        <v>0</v>
      </c>
      <c r="R330" s="13">
        <v>0</v>
      </c>
      <c r="S330" s="13">
        <v>0</v>
      </c>
    </row>
    <row r="331" spans="1:19" ht="27" customHeight="1">
      <c r="A331" s="53"/>
      <c r="B331" s="53"/>
      <c r="C331" s="61"/>
      <c r="D331" s="34" t="s">
        <v>11</v>
      </c>
      <c r="E331" s="20"/>
      <c r="F331" s="20"/>
      <c r="G331" s="20"/>
      <c r="H331" s="13">
        <f t="shared" si="88"/>
        <v>0</v>
      </c>
      <c r="I331" s="26"/>
      <c r="J331" s="26"/>
      <c r="K331" s="26"/>
      <c r="L331" s="26"/>
      <c r="M331" s="15"/>
      <c r="N331" s="15"/>
      <c r="O331" s="15"/>
      <c r="P331" s="32"/>
      <c r="Q331" s="32"/>
      <c r="R331" s="32"/>
      <c r="S331" s="32"/>
    </row>
    <row r="332" spans="1:19" ht="27" customHeight="1">
      <c r="A332" s="53"/>
      <c r="B332" s="53"/>
      <c r="C332" s="61"/>
      <c r="D332" s="34" t="s">
        <v>20</v>
      </c>
      <c r="E332" s="20"/>
      <c r="F332" s="20"/>
      <c r="G332" s="20"/>
      <c r="H332" s="13">
        <f t="shared" si="88"/>
        <v>1018.4</v>
      </c>
      <c r="I332" s="26">
        <v>1018.4</v>
      </c>
      <c r="J332" s="26">
        <v>0</v>
      </c>
      <c r="K332" s="26">
        <v>0</v>
      </c>
      <c r="L332" s="26">
        <v>0</v>
      </c>
      <c r="M332" s="15">
        <v>0</v>
      </c>
      <c r="N332" s="15">
        <v>0</v>
      </c>
      <c r="O332" s="15">
        <v>0</v>
      </c>
      <c r="P332" s="13">
        <v>0</v>
      </c>
      <c r="Q332" s="15">
        <v>0</v>
      </c>
      <c r="R332" s="15">
        <v>0</v>
      </c>
      <c r="S332" s="15">
        <v>0</v>
      </c>
    </row>
    <row r="333" spans="1:19" ht="27" customHeight="1">
      <c r="A333" s="53"/>
      <c r="B333" s="53"/>
      <c r="C333" s="61"/>
      <c r="D333" s="34" t="s">
        <v>12</v>
      </c>
      <c r="E333" s="20"/>
      <c r="F333" s="20"/>
      <c r="G333" s="20"/>
      <c r="H333" s="13">
        <f t="shared" si="88"/>
        <v>0</v>
      </c>
      <c r="I333" s="26"/>
      <c r="J333" s="26"/>
      <c r="K333" s="26"/>
      <c r="L333" s="26"/>
      <c r="M333" s="15"/>
      <c r="N333" s="15"/>
      <c r="O333" s="15"/>
      <c r="P333" s="32"/>
      <c r="Q333" s="32"/>
      <c r="R333" s="32"/>
      <c r="S333" s="32"/>
    </row>
    <row r="334" spans="1:19" ht="27" customHeight="1">
      <c r="A334" s="53"/>
      <c r="B334" s="53"/>
      <c r="C334" s="61"/>
      <c r="D334" s="34" t="s">
        <v>14</v>
      </c>
      <c r="E334" s="20"/>
      <c r="F334" s="20"/>
      <c r="G334" s="20"/>
      <c r="H334" s="13">
        <f t="shared" si="88"/>
        <v>0</v>
      </c>
      <c r="I334" s="26"/>
      <c r="J334" s="26"/>
      <c r="K334" s="26"/>
      <c r="L334" s="26"/>
      <c r="M334" s="15"/>
      <c r="N334" s="15"/>
      <c r="O334" s="15"/>
      <c r="P334" s="15"/>
      <c r="Q334" s="15"/>
      <c r="R334" s="15"/>
      <c r="S334" s="15"/>
    </row>
    <row r="335" spans="1:19" ht="27" customHeight="1">
      <c r="A335" s="53"/>
      <c r="B335" s="53"/>
      <c r="C335" s="61"/>
      <c r="D335" s="34" t="s">
        <v>13</v>
      </c>
      <c r="E335" s="20"/>
      <c r="F335" s="20"/>
      <c r="G335" s="20"/>
      <c r="H335" s="13">
        <f aca="true" t="shared" si="108" ref="H335:H343">I335+J335+K335+L335+M335+N335+O335+P335+Q335+R335+S335</f>
        <v>0</v>
      </c>
      <c r="I335" s="26"/>
      <c r="J335" s="26"/>
      <c r="K335" s="26"/>
      <c r="L335" s="26"/>
      <c r="M335" s="15"/>
      <c r="N335" s="15"/>
      <c r="O335" s="15"/>
      <c r="P335" s="15"/>
      <c r="Q335" s="15"/>
      <c r="R335" s="15"/>
      <c r="S335" s="15"/>
    </row>
    <row r="336" spans="1:19" ht="15.75" customHeight="1">
      <c r="A336" s="9">
        <v>1</v>
      </c>
      <c r="B336" s="9">
        <v>2</v>
      </c>
      <c r="C336" s="9">
        <f aca="true" t="shared" si="109" ref="C336:S336">B336+1</f>
        <v>3</v>
      </c>
      <c r="D336" s="34">
        <f t="shared" si="109"/>
        <v>4</v>
      </c>
      <c r="E336" s="9">
        <f t="shared" si="109"/>
        <v>5</v>
      </c>
      <c r="F336" s="9">
        <f t="shared" si="109"/>
        <v>6</v>
      </c>
      <c r="G336" s="9">
        <f t="shared" si="109"/>
        <v>7</v>
      </c>
      <c r="H336" s="24">
        <f t="shared" si="109"/>
        <v>8</v>
      </c>
      <c r="I336" s="24">
        <f t="shared" si="109"/>
        <v>9</v>
      </c>
      <c r="J336" s="24">
        <f t="shared" si="109"/>
        <v>10</v>
      </c>
      <c r="K336" s="24">
        <f t="shared" si="109"/>
        <v>11</v>
      </c>
      <c r="L336" s="24">
        <f t="shared" si="109"/>
        <v>12</v>
      </c>
      <c r="M336" s="24">
        <f t="shared" si="109"/>
        <v>13</v>
      </c>
      <c r="N336" s="24">
        <f t="shared" si="109"/>
        <v>14</v>
      </c>
      <c r="O336" s="24">
        <f t="shared" si="109"/>
        <v>15</v>
      </c>
      <c r="P336" s="24">
        <f t="shared" si="109"/>
        <v>16</v>
      </c>
      <c r="Q336" s="24">
        <f t="shared" si="109"/>
        <v>17</v>
      </c>
      <c r="R336" s="24">
        <f t="shared" si="109"/>
        <v>18</v>
      </c>
      <c r="S336" s="24">
        <f t="shared" si="109"/>
        <v>19</v>
      </c>
    </row>
    <row r="337" spans="1:19" ht="76.5" customHeight="1">
      <c r="A337" s="6" t="s">
        <v>68</v>
      </c>
      <c r="B337" s="7" t="s">
        <v>69</v>
      </c>
      <c r="C337" s="7"/>
      <c r="D337" s="17" t="s">
        <v>2</v>
      </c>
      <c r="E337" s="21"/>
      <c r="F337" s="25"/>
      <c r="G337" s="21" t="s">
        <v>119</v>
      </c>
      <c r="H337" s="13">
        <f t="shared" si="108"/>
        <v>171171.977</v>
      </c>
      <c r="I337" s="26">
        <f aca="true" t="shared" si="110" ref="I337:N337">I338</f>
        <v>12342.4</v>
      </c>
      <c r="J337" s="26">
        <f t="shared" si="110"/>
        <v>13043.4</v>
      </c>
      <c r="K337" s="26">
        <f t="shared" si="110"/>
        <v>13598.7</v>
      </c>
      <c r="L337" s="26">
        <f t="shared" si="110"/>
        <v>15896</v>
      </c>
      <c r="M337" s="15">
        <f>M338</f>
        <v>16521.201</v>
      </c>
      <c r="N337" s="15">
        <f t="shared" si="110"/>
        <v>16131.519</v>
      </c>
      <c r="O337" s="15">
        <f>O338</f>
        <v>15769.926</v>
      </c>
      <c r="P337" s="15">
        <f>P338</f>
        <v>16285.031</v>
      </c>
      <c r="Q337" s="15">
        <f>Q338</f>
        <v>16524.8</v>
      </c>
      <c r="R337" s="15">
        <f>R338</f>
        <v>17185.8</v>
      </c>
      <c r="S337" s="15">
        <f>S338</f>
        <v>17873.2</v>
      </c>
    </row>
    <row r="338" spans="1:19" ht="13.5" customHeight="1">
      <c r="A338" s="53" t="s">
        <v>71</v>
      </c>
      <c r="B338" s="53" t="s">
        <v>163</v>
      </c>
      <c r="C338" s="61" t="s">
        <v>100</v>
      </c>
      <c r="D338" s="17" t="s">
        <v>2</v>
      </c>
      <c r="E338" s="21"/>
      <c r="F338" s="25"/>
      <c r="G338" s="21" t="s">
        <v>168</v>
      </c>
      <c r="H338" s="13">
        <f t="shared" si="108"/>
        <v>171171.977</v>
      </c>
      <c r="I338" s="23">
        <f>SUM(I339:I343)</f>
        <v>12342.4</v>
      </c>
      <c r="J338" s="23">
        <f>SUM(J339:J343)</f>
        <v>13043.4</v>
      </c>
      <c r="K338" s="23">
        <f>SUM(K339:K343)</f>
        <v>13598.7</v>
      </c>
      <c r="L338" s="23">
        <f>SUM(L339:L343)</f>
        <v>15896</v>
      </c>
      <c r="M338" s="13">
        <f>SUM(M339:M343)</f>
        <v>16521.201</v>
      </c>
      <c r="N338" s="13">
        <v>16131.519</v>
      </c>
      <c r="O338" s="13">
        <v>15769.926</v>
      </c>
      <c r="P338" s="13">
        <v>16285.031</v>
      </c>
      <c r="Q338" s="13">
        <f>SUM(Q340:Q343)</f>
        <v>16524.8</v>
      </c>
      <c r="R338" s="13">
        <f>SUM(R340:R343)</f>
        <v>17185.8</v>
      </c>
      <c r="S338" s="13">
        <f>SUM(S340:S343)</f>
        <v>17873.2</v>
      </c>
    </row>
    <row r="339" spans="1:19" ht="27" customHeight="1">
      <c r="A339" s="53"/>
      <c r="B339" s="53"/>
      <c r="C339" s="61"/>
      <c r="D339" s="34" t="s">
        <v>11</v>
      </c>
      <c r="E339" s="20"/>
      <c r="F339" s="20"/>
      <c r="G339" s="20"/>
      <c r="H339" s="13">
        <f t="shared" si="108"/>
        <v>0</v>
      </c>
      <c r="I339" s="26"/>
      <c r="J339" s="26"/>
      <c r="K339" s="26"/>
      <c r="L339" s="26"/>
      <c r="M339" s="15"/>
      <c r="N339" s="15"/>
      <c r="O339" s="15"/>
      <c r="P339" s="32"/>
      <c r="Q339" s="32"/>
      <c r="R339" s="32"/>
      <c r="S339" s="32"/>
    </row>
    <row r="340" spans="1:19" ht="27" customHeight="1">
      <c r="A340" s="53"/>
      <c r="B340" s="53"/>
      <c r="C340" s="61"/>
      <c r="D340" s="34" t="s">
        <v>20</v>
      </c>
      <c r="E340" s="21" t="s">
        <v>104</v>
      </c>
      <c r="F340" s="21" t="s">
        <v>120</v>
      </c>
      <c r="G340" s="21" t="s">
        <v>168</v>
      </c>
      <c r="H340" s="13">
        <f t="shared" si="108"/>
        <v>98319.79999999999</v>
      </c>
      <c r="I340" s="26"/>
      <c r="J340" s="26"/>
      <c r="K340" s="26"/>
      <c r="L340" s="26"/>
      <c r="M340" s="13">
        <v>13739.7</v>
      </c>
      <c r="N340" s="15">
        <v>13611</v>
      </c>
      <c r="O340" s="15">
        <v>14512</v>
      </c>
      <c r="P340" s="15">
        <v>15345</v>
      </c>
      <c r="Q340" s="13">
        <v>13170.2</v>
      </c>
      <c r="R340" s="13">
        <v>13697</v>
      </c>
      <c r="S340" s="13">
        <v>14244.9</v>
      </c>
    </row>
    <row r="341" spans="1:19" ht="27" customHeight="1">
      <c r="A341" s="53"/>
      <c r="B341" s="53"/>
      <c r="C341" s="61"/>
      <c r="D341" s="34" t="s">
        <v>12</v>
      </c>
      <c r="E341" s="21" t="s">
        <v>104</v>
      </c>
      <c r="F341" s="21" t="s">
        <v>120</v>
      </c>
      <c r="G341" s="21" t="s">
        <v>168</v>
      </c>
      <c r="H341" s="13">
        <f t="shared" si="108"/>
        <v>72852.17700000001</v>
      </c>
      <c r="I341" s="26">
        <v>12342.4</v>
      </c>
      <c r="J341" s="26">
        <v>13043.4</v>
      </c>
      <c r="K341" s="26">
        <v>13598.7</v>
      </c>
      <c r="L341" s="26">
        <v>15896</v>
      </c>
      <c r="M341" s="13">
        <v>2781.501</v>
      </c>
      <c r="N341" s="15">
        <f>N338-N340</f>
        <v>2520.5190000000002</v>
      </c>
      <c r="O341" s="15">
        <f>O338-O340</f>
        <v>1257.9259999999995</v>
      </c>
      <c r="P341" s="15">
        <f>P338-P340</f>
        <v>940.0310000000009</v>
      </c>
      <c r="Q341" s="13">
        <v>3354.6</v>
      </c>
      <c r="R341" s="13">
        <v>3488.8</v>
      </c>
      <c r="S341" s="13">
        <v>3628.3</v>
      </c>
    </row>
    <row r="342" spans="1:19" ht="27" customHeight="1">
      <c r="A342" s="53"/>
      <c r="B342" s="53"/>
      <c r="C342" s="61"/>
      <c r="D342" s="34" t="s">
        <v>14</v>
      </c>
      <c r="E342" s="20"/>
      <c r="F342" s="20"/>
      <c r="G342" s="20"/>
      <c r="H342" s="13">
        <f t="shared" si="108"/>
        <v>0</v>
      </c>
      <c r="I342" s="26"/>
      <c r="J342" s="26"/>
      <c r="K342" s="26"/>
      <c r="L342" s="26"/>
      <c r="M342" s="15"/>
      <c r="N342" s="15"/>
      <c r="O342" s="15"/>
      <c r="P342" s="32"/>
      <c r="Q342" s="32"/>
      <c r="R342" s="32"/>
      <c r="S342" s="32"/>
    </row>
    <row r="343" spans="1:19" ht="29.25" customHeight="1">
      <c r="A343" s="53"/>
      <c r="B343" s="53"/>
      <c r="C343" s="61"/>
      <c r="D343" s="34" t="s">
        <v>13</v>
      </c>
      <c r="E343" s="20"/>
      <c r="F343" s="20"/>
      <c r="G343" s="20"/>
      <c r="H343" s="13">
        <f t="shared" si="108"/>
        <v>0</v>
      </c>
      <c r="I343" s="26"/>
      <c r="J343" s="26"/>
      <c r="K343" s="26"/>
      <c r="L343" s="26"/>
      <c r="M343" s="15"/>
      <c r="N343" s="15"/>
      <c r="O343" s="15"/>
      <c r="P343" s="15"/>
      <c r="Q343" s="15"/>
      <c r="R343" s="15"/>
      <c r="S343" s="15"/>
    </row>
  </sheetData>
  <sheetProtection/>
  <mergeCells count="160">
    <mergeCell ref="D166:D169"/>
    <mergeCell ref="C99:C104"/>
    <mergeCell ref="C163:C171"/>
    <mergeCell ref="C83:C88"/>
    <mergeCell ref="C89:C96"/>
    <mergeCell ref="C68:C73"/>
    <mergeCell ref="B105:B112"/>
    <mergeCell ref="C105:C112"/>
    <mergeCell ref="D145:D148"/>
    <mergeCell ref="D108:D110"/>
    <mergeCell ref="C136:C141"/>
    <mergeCell ref="D54:D56"/>
    <mergeCell ref="C61:C66"/>
    <mergeCell ref="C230:C235"/>
    <mergeCell ref="C178:C183"/>
    <mergeCell ref="C172:C177"/>
    <mergeCell ref="D76:D78"/>
    <mergeCell ref="C236:C241"/>
    <mergeCell ref="A143:A154"/>
    <mergeCell ref="B143:B154"/>
    <mergeCell ref="C143:C154"/>
    <mergeCell ref="D149:D152"/>
    <mergeCell ref="A105:A112"/>
    <mergeCell ref="D210:D213"/>
    <mergeCell ref="A186:A191"/>
    <mergeCell ref="B186:B191"/>
    <mergeCell ref="C199:C204"/>
    <mergeCell ref="C207:C215"/>
    <mergeCell ref="D246:D250"/>
    <mergeCell ref="C193:C198"/>
    <mergeCell ref="B230:B235"/>
    <mergeCell ref="A243:A252"/>
    <mergeCell ref="C186:C191"/>
    <mergeCell ref="C261:C266"/>
    <mergeCell ref="C330:C335"/>
    <mergeCell ref="C155:C160"/>
    <mergeCell ref="A178:A183"/>
    <mergeCell ref="B178:B183"/>
    <mergeCell ref="A207:A215"/>
    <mergeCell ref="B207:B215"/>
    <mergeCell ref="B193:B198"/>
    <mergeCell ref="C217:C222"/>
    <mergeCell ref="C324:C329"/>
    <mergeCell ref="C338:C343"/>
    <mergeCell ref="C267:C272"/>
    <mergeCell ref="C274:C279"/>
    <mergeCell ref="C280:C285"/>
    <mergeCell ref="C286:C291"/>
    <mergeCell ref="C293:C298"/>
    <mergeCell ref="C313:C317"/>
    <mergeCell ref="C299:C304"/>
    <mergeCell ref="C318:C323"/>
    <mergeCell ref="C305:C310"/>
    <mergeCell ref="C19:C24"/>
    <mergeCell ref="C26:C31"/>
    <mergeCell ref="C32:C37"/>
    <mergeCell ref="C39:C44"/>
    <mergeCell ref="C45:C50"/>
    <mergeCell ref="C243:C252"/>
    <mergeCell ref="C124:C129"/>
    <mergeCell ref="C130:C135"/>
    <mergeCell ref="C74:C81"/>
    <mergeCell ref="C223:C228"/>
    <mergeCell ref="A26:A31"/>
    <mergeCell ref="C255:C260"/>
    <mergeCell ref="C12:C17"/>
    <mergeCell ref="A274:A279"/>
    <mergeCell ref="B274:B279"/>
    <mergeCell ref="A39:A44"/>
    <mergeCell ref="B39:B44"/>
    <mergeCell ref="B52:B59"/>
    <mergeCell ref="A68:A73"/>
    <mergeCell ref="B61:B66"/>
    <mergeCell ref="A230:A235"/>
    <mergeCell ref="A280:A285"/>
    <mergeCell ref="B280:B285"/>
    <mergeCell ref="A299:A304"/>
    <mergeCell ref="A124:A129"/>
    <mergeCell ref="A199:A204"/>
    <mergeCell ref="B199:B204"/>
    <mergeCell ref="A172:A177"/>
    <mergeCell ref="B172:B177"/>
    <mergeCell ref="A338:A343"/>
    <mergeCell ref="B338:B343"/>
    <mergeCell ref="A313:A317"/>
    <mergeCell ref="B313:B317"/>
    <mergeCell ref="A318:A323"/>
    <mergeCell ref="A19:A24"/>
    <mergeCell ref="A324:A329"/>
    <mergeCell ref="B324:B329"/>
    <mergeCell ref="A305:A310"/>
    <mergeCell ref="B305:B310"/>
    <mergeCell ref="A293:A298"/>
    <mergeCell ref="B293:B298"/>
    <mergeCell ref="B318:B323"/>
    <mergeCell ref="A330:A335"/>
    <mergeCell ref="B330:B335"/>
    <mergeCell ref="A261:A266"/>
    <mergeCell ref="B261:B266"/>
    <mergeCell ref="A267:A272"/>
    <mergeCell ref="B267:B272"/>
    <mergeCell ref="B299:B304"/>
    <mergeCell ref="A286:A291"/>
    <mergeCell ref="A9:A10"/>
    <mergeCell ref="A74:A81"/>
    <mergeCell ref="B74:B81"/>
    <mergeCell ref="A223:A228"/>
    <mergeCell ref="B223:B228"/>
    <mergeCell ref="A236:A241"/>
    <mergeCell ref="A217:A222"/>
    <mergeCell ref="B163:B171"/>
    <mergeCell ref="B286:B291"/>
    <mergeCell ref="A155:A160"/>
    <mergeCell ref="B155:B160"/>
    <mergeCell ref="A193:A198"/>
    <mergeCell ref="A136:A141"/>
    <mergeCell ref="B136:B141"/>
    <mergeCell ref="C9:C10"/>
    <mergeCell ref="B19:B24"/>
    <mergeCell ref="B9:B10"/>
    <mergeCell ref="A12:A17"/>
    <mergeCell ref="B12:B17"/>
    <mergeCell ref="A114:A122"/>
    <mergeCell ref="A255:A260"/>
    <mergeCell ref="B255:B260"/>
    <mergeCell ref="B243:B252"/>
    <mergeCell ref="B217:B222"/>
    <mergeCell ref="D117:D120"/>
    <mergeCell ref="B124:B129"/>
    <mergeCell ref="C114:C122"/>
    <mergeCell ref="A130:A135"/>
    <mergeCell ref="B130:B135"/>
    <mergeCell ref="A45:A50"/>
    <mergeCell ref="B68:B73"/>
    <mergeCell ref="B89:B96"/>
    <mergeCell ref="A52:A59"/>
    <mergeCell ref="C52:C59"/>
    <mergeCell ref="A99:A104"/>
    <mergeCell ref="A61:A66"/>
    <mergeCell ref="B99:B104"/>
    <mergeCell ref="N1:S1"/>
    <mergeCell ref="N2:S2"/>
    <mergeCell ref="H9:S9"/>
    <mergeCell ref="A7:S7"/>
    <mergeCell ref="N4:S4"/>
    <mergeCell ref="B45:B50"/>
    <mergeCell ref="B26:B31"/>
    <mergeCell ref="N5:S5"/>
    <mergeCell ref="D9:D10"/>
    <mergeCell ref="A4:A5"/>
    <mergeCell ref="D91:D93"/>
    <mergeCell ref="E9:G9"/>
    <mergeCell ref="B236:B241"/>
    <mergeCell ref="A32:A37"/>
    <mergeCell ref="B32:B37"/>
    <mergeCell ref="B114:B122"/>
    <mergeCell ref="A163:A171"/>
    <mergeCell ref="A83:A88"/>
    <mergeCell ref="B83:B88"/>
    <mergeCell ref="A89:A96"/>
  </mergeCells>
  <printOptions/>
  <pageMargins left="0.3937007874015748" right="0.3937007874015748" top="1.1023622047244095" bottom="0.5118110236220472" header="0" footer="0"/>
  <pageSetup fitToHeight="0" fitToWidth="1" horizontalDpi="600" verticalDpi="600" orientation="landscape" paperSize="9" scale="76" r:id="rId1"/>
  <rowBreaks count="17" manualBreakCount="17">
    <brk id="17" max="18" man="1"/>
    <brk id="37" max="18" man="1"/>
    <brk id="50" max="18" man="1"/>
    <brk id="66" max="18" man="1"/>
    <brk id="81" max="18" man="1"/>
    <brk id="97" max="18" man="1"/>
    <brk id="122" max="18" man="1"/>
    <brk id="141" max="18" man="1"/>
    <brk id="161" max="18" man="1"/>
    <brk id="184" max="18" man="1"/>
    <brk id="205" max="18" man="1"/>
    <brk id="228" max="18" man="1"/>
    <brk id="252" max="18" man="1"/>
    <brk id="272" max="18" man="1"/>
    <brk id="291" max="18" man="1"/>
    <brk id="311" max="18" man="1"/>
    <brk id="3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Лидия Альбертовна</cp:lastModifiedBy>
  <cp:lastPrinted>2020-07-14T07:55:55Z</cp:lastPrinted>
  <dcterms:created xsi:type="dcterms:W3CDTF">1996-10-08T23:32:33Z</dcterms:created>
  <dcterms:modified xsi:type="dcterms:W3CDTF">2020-07-20T06:17:35Z</dcterms:modified>
  <cp:category/>
  <cp:version/>
  <cp:contentType/>
  <cp:contentStatus/>
</cp:coreProperties>
</file>